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1.xml" ContentType="application/vnd.openxmlformats-officedocument.drawing+xml"/>
  <Override PartName="/xl/tables/table9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10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filterPrivacy="1"/>
  <bookViews>
    <workbookView xWindow="0" yWindow="0" windowWidth="20490" windowHeight="7530" tabRatio="894" activeTab="5"/>
  </bookViews>
  <sheets>
    <sheet name="Índice" sheetId="7" r:id="rId1"/>
    <sheet name="Novembro 15" sheetId="1" r:id="rId2"/>
    <sheet name="Dezembro 15" sheetId="2" r:id="rId3"/>
    <sheet name="Janeiro 16" sheetId="8" r:id="rId4"/>
    <sheet name="Fevereiro 16" sheetId="4" r:id="rId5"/>
    <sheet name="Estratégia - TEMA" sheetId="12" r:id="rId6"/>
    <sheet name="Estratégia - ENQUADRAMENTO" sheetId="13" r:id="rId7"/>
    <sheet name="Estratégia - DIMENSÃO COM INSTI" sheetId="16" r:id="rId8"/>
    <sheet name="Estratégia - TIPO" sheetId="22" r:id="rId9"/>
    <sheet name="Estratégia - FORMATO" sheetId="14" r:id="rId10"/>
    <sheet name="Interação - TEMA" sheetId="6" r:id="rId11"/>
    <sheet name="Interação - DIMENSÃO COM INSTIT" sheetId="9" r:id="rId12"/>
    <sheet name="Interação - TIPO" sheetId="18" r:id="rId13"/>
    <sheet name="Interação - FORMATO" sheetId="17" r:id="rId14"/>
    <sheet name="Presença online do PE nas RSoc" sheetId="21" r:id="rId15"/>
  </sheets>
  <definedNames>
    <definedName name="_xlnm._FilterDatabase" localSheetId="7" hidden="1">'Estratégia - DIMENSÃO COM INSTI'!$B$10:$H$16</definedName>
    <definedName name="_xlnm._FilterDatabase" localSheetId="9" hidden="1">'Estratégia - FORMATO'!$C$10:$I$19</definedName>
    <definedName name="_xlnm._FilterDatabase" localSheetId="8" hidden="1">'Estratégia - TIPO'!#REF!</definedName>
    <definedName name="_ftn1" localSheetId="6">'Estratégia - ENQUADRAMENTO'!$J$17</definedName>
    <definedName name="_ftn2" localSheetId="6">'Estratégia - ENQUADRAMENTO'!$J$18</definedName>
    <definedName name="_ftn3" localSheetId="6">'Estratégia - ENQUADRAMENTO'!$J$19</definedName>
    <definedName name="_ftn4" localSheetId="6">'Estratégia - ENQUADRAMENTO'!$J$20</definedName>
    <definedName name="_ftnref1" localSheetId="9">'Estratégia - FORMATO'!#REF!</definedName>
    <definedName name="_xlnm.Print_Area" localSheetId="2">'Dezembro 15'!$A$1:$R$81</definedName>
    <definedName name="_xlnm.Print_Area" localSheetId="7">'Estratégia - DIMENSÃO COM INSTI'!$A$1:$Z$32</definedName>
    <definedName name="_xlnm.Print_Area" localSheetId="6">'Estratégia - ENQUADRAMENTO'!$A$1:$AC$83</definedName>
    <definedName name="_xlnm.Print_Area" localSheetId="9">'Estratégia - FORMATO'!$A$1:$Y$35</definedName>
    <definedName name="_xlnm.Print_Area" localSheetId="5">'Estratégia - TEMA'!$A$1:$AC$83</definedName>
    <definedName name="_xlnm.Print_Area" localSheetId="8">'Estratégia - TIPO'!$A$1:$Y$30</definedName>
    <definedName name="_xlnm.Print_Area" localSheetId="4">'Fevereiro 16'!$A$1:$Q$69</definedName>
    <definedName name="_xlnm.Print_Area" localSheetId="0">Índice!$A$1:$F$16</definedName>
    <definedName name="_xlnm.Print_Area" localSheetId="11">'Interação - DIMENSÃO COM INSTIT'!$A$1:$AH$353</definedName>
    <definedName name="_xlnm.Print_Area" localSheetId="13">'Interação - FORMATO'!$A$1:$AB$52</definedName>
    <definedName name="_xlnm.Print_Area" localSheetId="10">'Interação - TEMA'!$A$1:$AH$332</definedName>
    <definedName name="_xlnm.Print_Area" localSheetId="3">'Janeiro 16'!$A$1:$Q$68</definedName>
    <definedName name="_xlnm.Print_Area" localSheetId="1">'Novembro 15'!$A$1:$R$70</definedName>
    <definedName name="_xlnm.Print_Area" localSheetId="14">'Presença online do PE nas RSoc'!$A$1:$N$20</definedName>
  </definedNames>
  <calcPr calcId="162913"/>
</workbook>
</file>

<file path=xl/calcChain.xml><?xml version="1.0" encoding="utf-8"?>
<calcChain xmlns="http://schemas.openxmlformats.org/spreadsheetml/2006/main">
  <c r="H13" i="13" l="1"/>
  <c r="H14" i="13"/>
  <c r="H15" i="13"/>
  <c r="H16" i="13"/>
  <c r="H17" i="13"/>
  <c r="H21" i="13"/>
  <c r="H22" i="13"/>
  <c r="H23" i="13"/>
  <c r="H24" i="13"/>
  <c r="H25" i="13"/>
  <c r="H29" i="13"/>
  <c r="H30" i="13"/>
  <c r="H31" i="13"/>
  <c r="G11" i="13"/>
  <c r="H11" i="13" s="1"/>
  <c r="G12" i="13"/>
  <c r="H12" i="13" s="1"/>
  <c r="G13" i="13"/>
  <c r="G14" i="13"/>
  <c r="G15" i="13"/>
  <c r="G16" i="13"/>
  <c r="G17" i="13"/>
  <c r="G18" i="13"/>
  <c r="H18" i="13" s="1"/>
  <c r="G19" i="13"/>
  <c r="H19" i="13" s="1"/>
  <c r="G20" i="13"/>
  <c r="H20" i="13" s="1"/>
  <c r="G21" i="13"/>
  <c r="G22" i="13"/>
  <c r="G23" i="13"/>
  <c r="G24" i="13"/>
  <c r="G25" i="13"/>
  <c r="G26" i="13"/>
  <c r="H26" i="13" s="1"/>
  <c r="G27" i="13"/>
  <c r="H27" i="13" s="1"/>
  <c r="G28" i="13"/>
  <c r="H28" i="13" s="1"/>
  <c r="G29" i="13"/>
  <c r="G30" i="13"/>
  <c r="G31" i="13"/>
  <c r="I333" i="9" l="1"/>
  <c r="H333" i="9"/>
  <c r="G333" i="9"/>
  <c r="I332" i="9"/>
  <c r="H332" i="9"/>
  <c r="G332" i="9"/>
  <c r="I331" i="9"/>
  <c r="H331" i="9"/>
  <c r="G331" i="9"/>
  <c r="I330" i="9"/>
  <c r="H330" i="9"/>
  <c r="G330" i="9"/>
  <c r="I329" i="9"/>
  <c r="H329" i="9"/>
  <c r="G329" i="9"/>
  <c r="I328" i="9"/>
  <c r="G328" i="9"/>
  <c r="E328" i="9"/>
  <c r="H328" i="9" s="1"/>
  <c r="G15" i="22"/>
  <c r="H15" i="22" s="1"/>
  <c r="G14" i="22"/>
  <c r="H14" i="22" s="1"/>
  <c r="G13" i="22"/>
  <c r="H13" i="22" s="1"/>
  <c r="G12" i="22"/>
  <c r="H12" i="22" s="1"/>
  <c r="G11" i="22"/>
  <c r="H11" i="22" s="1"/>
  <c r="F20" i="17" l="1"/>
  <c r="E20" i="17"/>
  <c r="D20" i="17"/>
  <c r="F19" i="17"/>
  <c r="E19" i="17"/>
  <c r="D19" i="17"/>
  <c r="D18" i="17"/>
  <c r="F18" i="17"/>
  <c r="I18" i="17" s="1"/>
  <c r="E18" i="17"/>
  <c r="F17" i="17"/>
  <c r="E17" i="17"/>
  <c r="D17" i="17"/>
  <c r="F16" i="17"/>
  <c r="E16" i="17"/>
  <c r="H16" i="17" s="1"/>
  <c r="D16" i="17"/>
  <c r="F15" i="17"/>
  <c r="I15" i="17" s="1"/>
  <c r="E15" i="17"/>
  <c r="D15" i="17"/>
  <c r="F14" i="17"/>
  <c r="E14" i="17"/>
  <c r="D14" i="17"/>
  <c r="F13" i="17"/>
  <c r="E13" i="17"/>
  <c r="D13" i="17"/>
  <c r="G13" i="17" s="1"/>
  <c r="F12" i="17"/>
  <c r="E12" i="17"/>
  <c r="D12" i="17"/>
  <c r="C20" i="17"/>
  <c r="G20" i="17" s="1"/>
  <c r="C19" i="17"/>
  <c r="H19" i="17" s="1"/>
  <c r="C18" i="17"/>
  <c r="H18" i="17" s="1"/>
  <c r="C17" i="17"/>
  <c r="G17" i="17" s="1"/>
  <c r="C16" i="17"/>
  <c r="C15" i="17"/>
  <c r="G15" i="17" s="1"/>
  <c r="C14" i="17"/>
  <c r="I14" i="17" s="1"/>
  <c r="C13" i="17"/>
  <c r="I13" i="17" s="1"/>
  <c r="C12" i="17"/>
  <c r="I12" i="17" s="1"/>
  <c r="G11" i="16"/>
  <c r="H11" i="16" s="1"/>
  <c r="G14" i="16"/>
  <c r="H14" i="16" s="1"/>
  <c r="G12" i="16"/>
  <c r="H12" i="16" s="1"/>
  <c r="G15" i="16"/>
  <c r="H15" i="16" s="1"/>
  <c r="G13" i="16"/>
  <c r="H13" i="16" s="1"/>
  <c r="G16" i="16"/>
  <c r="H16" i="16" s="1"/>
  <c r="G18" i="17" l="1"/>
  <c r="G19" i="17"/>
  <c r="I16" i="17"/>
  <c r="G12" i="17"/>
  <c r="H12" i="17"/>
  <c r="I20" i="17"/>
  <c r="H20" i="17"/>
  <c r="H13" i="17"/>
  <c r="H14" i="17"/>
  <c r="G14" i="17"/>
  <c r="I17" i="17"/>
  <c r="H17" i="17"/>
  <c r="I19" i="17"/>
  <c r="G16" i="17"/>
  <c r="H15" i="17"/>
  <c r="K223" i="18" l="1"/>
  <c r="J223" i="18"/>
  <c r="I223" i="18"/>
  <c r="H223" i="18"/>
  <c r="G223" i="18"/>
  <c r="F223" i="18"/>
  <c r="K291" i="18"/>
  <c r="K71" i="18"/>
  <c r="K150" i="18"/>
  <c r="I291" i="18" l="1"/>
  <c r="F291" i="18"/>
  <c r="K288" i="18"/>
  <c r="Q236" i="18" s="1"/>
  <c r="J288" i="18"/>
  <c r="P236" i="18" s="1"/>
  <c r="I288" i="18"/>
  <c r="O236" i="18" s="1"/>
  <c r="H288" i="18"/>
  <c r="G288" i="18"/>
  <c r="F288" i="18"/>
  <c r="K244" i="18"/>
  <c r="Q235" i="18" s="1"/>
  <c r="J244" i="18"/>
  <c r="P235" i="18" s="1"/>
  <c r="I244" i="18"/>
  <c r="H244" i="18"/>
  <c r="G244" i="18"/>
  <c r="F244" i="18"/>
  <c r="K234" i="18"/>
  <c r="Q234" i="18" s="1"/>
  <c r="J234" i="18"/>
  <c r="P234" i="18" s="1"/>
  <c r="I234" i="18"/>
  <c r="O234" i="18" s="1"/>
  <c r="H234" i="18"/>
  <c r="G234" i="18"/>
  <c r="F234" i="18"/>
  <c r="F177" i="18"/>
  <c r="F166" i="18"/>
  <c r="K165" i="18"/>
  <c r="J165" i="18"/>
  <c r="I165" i="18"/>
  <c r="H165" i="18"/>
  <c r="Q165" i="18" s="1"/>
  <c r="G165" i="18"/>
  <c r="P165" i="18" s="1"/>
  <c r="F165" i="18"/>
  <c r="O165" i="18" s="1"/>
  <c r="F219" i="18"/>
  <c r="F83" i="18"/>
  <c r="F85" i="18"/>
  <c r="H150" i="18"/>
  <c r="F150" i="18"/>
  <c r="K146" i="18"/>
  <c r="Q86" i="18" s="1"/>
  <c r="J146" i="18"/>
  <c r="P86" i="18" s="1"/>
  <c r="I146" i="18"/>
  <c r="O86" i="18" s="1"/>
  <c r="H146" i="18"/>
  <c r="G146" i="18"/>
  <c r="F146" i="18"/>
  <c r="K103" i="18"/>
  <c r="Q85" i="18" s="1"/>
  <c r="J103" i="18"/>
  <c r="P85" i="18" s="1"/>
  <c r="I103" i="18"/>
  <c r="O85" i="18" s="1"/>
  <c r="H103" i="18"/>
  <c r="G103" i="18"/>
  <c r="F103" i="18"/>
  <c r="K85" i="18"/>
  <c r="Q84" i="18" s="1"/>
  <c r="J85" i="18"/>
  <c r="P84" i="18" s="1"/>
  <c r="I85" i="18"/>
  <c r="O84" i="18" s="1"/>
  <c r="H85" i="18"/>
  <c r="G85" i="18"/>
  <c r="G83" i="18"/>
  <c r="H83" i="18"/>
  <c r="I83" i="18"/>
  <c r="O83" i="18" s="1"/>
  <c r="J83" i="18"/>
  <c r="P83" i="18" s="1"/>
  <c r="K83" i="18"/>
  <c r="Q83" i="18" s="1"/>
  <c r="I84" i="18"/>
  <c r="J84" i="18"/>
  <c r="K84" i="18"/>
  <c r="J291" i="18"/>
  <c r="P237" i="18" s="1"/>
  <c r="O237" i="18"/>
  <c r="H291" i="18"/>
  <c r="G291" i="18"/>
  <c r="O235" i="18"/>
  <c r="Q237" i="18"/>
  <c r="K219" i="18"/>
  <c r="Q168" i="18" s="1"/>
  <c r="J219" i="18"/>
  <c r="P168" i="18" s="1"/>
  <c r="I219" i="18"/>
  <c r="O168" i="18" s="1"/>
  <c r="H219" i="18"/>
  <c r="G219" i="18"/>
  <c r="K177" i="18"/>
  <c r="Q167" i="18" s="1"/>
  <c r="J177" i="18"/>
  <c r="P167" i="18" s="1"/>
  <c r="I177" i="18"/>
  <c r="O167" i="18" s="1"/>
  <c r="H177" i="18"/>
  <c r="G177" i="18"/>
  <c r="Q169" i="18"/>
  <c r="P169" i="18"/>
  <c r="O169" i="18"/>
  <c r="K166" i="18"/>
  <c r="Q166" i="18" s="1"/>
  <c r="J166" i="18"/>
  <c r="P166" i="18" s="1"/>
  <c r="I166" i="18"/>
  <c r="O166" i="18" s="1"/>
  <c r="H166" i="18"/>
  <c r="G166" i="18"/>
  <c r="Q87" i="18"/>
  <c r="J150" i="18"/>
  <c r="P87" i="18" s="1"/>
  <c r="I150" i="18"/>
  <c r="O87" i="18" s="1"/>
  <c r="G150" i="18"/>
  <c r="J71" i="18"/>
  <c r="P17" i="18" s="1"/>
  <c r="I71" i="18"/>
  <c r="O17" i="18" s="1"/>
  <c r="H71" i="18"/>
  <c r="G71" i="18"/>
  <c r="F71" i="18"/>
  <c r="K27" i="18"/>
  <c r="Q15" i="18" s="1"/>
  <c r="J27" i="18"/>
  <c r="P15" i="18" s="1"/>
  <c r="I27" i="18"/>
  <c r="O15" i="18" s="1"/>
  <c r="H27" i="18"/>
  <c r="G27" i="18"/>
  <c r="F27" i="18"/>
  <c r="Q17" i="18"/>
  <c r="K17" i="18"/>
  <c r="J17" i="18"/>
  <c r="P14" i="18" s="1"/>
  <c r="I17" i="18"/>
  <c r="O14" i="18" s="1"/>
  <c r="H17" i="18"/>
  <c r="G17" i="18"/>
  <c r="F17" i="18"/>
  <c r="Q16" i="18"/>
  <c r="P16" i="18"/>
  <c r="O16" i="18"/>
  <c r="Q14" i="18"/>
  <c r="K13" i="18"/>
  <c r="Q13" i="18" s="1"/>
  <c r="J13" i="18"/>
  <c r="P13" i="18" s="1"/>
  <c r="I13" i="18"/>
  <c r="O13" i="18" s="1"/>
  <c r="H13" i="18"/>
  <c r="G13" i="18"/>
  <c r="F13" i="18"/>
  <c r="E303" i="6" l="1"/>
  <c r="H303" i="6" s="1"/>
  <c r="F303" i="6"/>
  <c r="I303" i="6" s="1"/>
  <c r="E309" i="6"/>
  <c r="H309" i="6" s="1"/>
  <c r="F309" i="6"/>
  <c r="I309" i="6" s="1"/>
  <c r="D309" i="6"/>
  <c r="G309" i="6" s="1"/>
  <c r="D303" i="6"/>
  <c r="G303" i="6" s="1"/>
  <c r="E299" i="6"/>
  <c r="H299" i="6" s="1"/>
  <c r="F299" i="6"/>
  <c r="I299" i="6" s="1"/>
  <c r="D299" i="6"/>
  <c r="G299" i="6" s="1"/>
  <c r="G24" i="12" l="1"/>
  <c r="H24" i="12" s="1"/>
  <c r="G37" i="12"/>
  <c r="H37" i="12" s="1"/>
  <c r="G15" i="12"/>
  <c r="H15" i="12" s="1"/>
  <c r="G23" i="12"/>
  <c r="H23" i="12" s="1"/>
  <c r="G27" i="12"/>
  <c r="H27" i="12" s="1"/>
  <c r="G26" i="12"/>
  <c r="H26" i="12" s="1"/>
  <c r="G36" i="12"/>
  <c r="H36" i="12" s="1"/>
  <c r="G31" i="12"/>
  <c r="H31" i="12" s="1"/>
  <c r="G14" i="12"/>
  <c r="H14" i="12" s="1"/>
  <c r="G22" i="12"/>
  <c r="H22" i="12" s="1"/>
  <c r="G30" i="12"/>
  <c r="H30" i="12" s="1"/>
  <c r="G40" i="12"/>
  <c r="H40" i="12" s="1"/>
  <c r="G29" i="12"/>
  <c r="H29" i="12" s="1"/>
  <c r="G20" i="12"/>
  <c r="H20" i="12" s="1"/>
  <c r="G35" i="12"/>
  <c r="H35" i="12" s="1"/>
  <c r="G18" i="12"/>
  <c r="H18" i="12" s="1"/>
  <c r="G34" i="12"/>
  <c r="H34" i="12" s="1"/>
  <c r="G25" i="12"/>
  <c r="H25" i="12" s="1"/>
  <c r="G13" i="12"/>
  <c r="H13" i="12" s="1"/>
  <c r="G17" i="12"/>
  <c r="H17" i="12" s="1"/>
  <c r="G39" i="12"/>
  <c r="H39" i="12" s="1"/>
  <c r="G38" i="12"/>
  <c r="H38" i="12" s="1"/>
  <c r="G16" i="12"/>
  <c r="H16" i="12" s="1"/>
  <c r="G21" i="12"/>
  <c r="H21" i="12" s="1"/>
  <c r="G19" i="12"/>
  <c r="H19" i="12" s="1"/>
  <c r="G33" i="12"/>
  <c r="H33" i="12" s="1"/>
  <c r="G28" i="12"/>
  <c r="H28" i="12" s="1"/>
  <c r="G42" i="12"/>
  <c r="H42" i="12" s="1"/>
  <c r="G32" i="12"/>
  <c r="H32" i="12" s="1"/>
  <c r="G11" i="12"/>
  <c r="H11" i="12" s="1"/>
  <c r="G12" i="12"/>
  <c r="H12" i="12" s="1"/>
  <c r="H41" i="12"/>
  <c r="J267" i="9" l="1"/>
  <c r="P238" i="9" s="1"/>
  <c r="K267" i="9"/>
  <c r="Q238" i="9" s="1"/>
  <c r="I267" i="9"/>
  <c r="O238" i="9" s="1"/>
  <c r="G267" i="9"/>
  <c r="H267" i="9"/>
  <c r="F267" i="9"/>
  <c r="J261" i="9"/>
  <c r="P237" i="9" s="1"/>
  <c r="K261" i="9"/>
  <c r="Q237" i="9" s="1"/>
  <c r="I261" i="9"/>
  <c r="O237" i="9" s="1"/>
  <c r="G261" i="9"/>
  <c r="H261" i="9"/>
  <c r="F261" i="9"/>
  <c r="J245" i="9"/>
  <c r="P236" i="9" s="1"/>
  <c r="K245" i="9"/>
  <c r="Q236" i="9" s="1"/>
  <c r="I245" i="9"/>
  <c r="O236" i="9" s="1"/>
  <c r="G245" i="9"/>
  <c r="H245" i="9"/>
  <c r="F245" i="9"/>
  <c r="J243" i="9"/>
  <c r="P235" i="9" s="1"/>
  <c r="K243" i="9"/>
  <c r="Q235" i="9" s="1"/>
  <c r="I243" i="9"/>
  <c r="O235" i="9" s="1"/>
  <c r="G243" i="9"/>
  <c r="H243" i="9"/>
  <c r="F243" i="9"/>
  <c r="J234" i="9"/>
  <c r="P234" i="9" s="1"/>
  <c r="K234" i="9"/>
  <c r="Q234" i="9" s="1"/>
  <c r="I234" i="9"/>
  <c r="O234" i="9" s="1"/>
  <c r="G234" i="9"/>
  <c r="H234" i="9"/>
  <c r="F234" i="9"/>
  <c r="J199" i="9"/>
  <c r="P170" i="9" s="1"/>
  <c r="K199" i="9"/>
  <c r="Q170" i="9" s="1"/>
  <c r="I199" i="9"/>
  <c r="O170" i="9" s="1"/>
  <c r="G199" i="9"/>
  <c r="H199" i="9"/>
  <c r="F199" i="9"/>
  <c r="J195" i="9"/>
  <c r="P169" i="9" s="1"/>
  <c r="K195" i="9"/>
  <c r="Q169" i="9" s="1"/>
  <c r="I195" i="9"/>
  <c r="O169" i="9" s="1"/>
  <c r="G195" i="9"/>
  <c r="H195" i="9"/>
  <c r="F195" i="9"/>
  <c r="J181" i="9"/>
  <c r="P168" i="9" s="1"/>
  <c r="K181" i="9"/>
  <c r="Q168" i="9" s="1"/>
  <c r="I181" i="9"/>
  <c r="O168" i="9" s="1"/>
  <c r="G181" i="9"/>
  <c r="H181" i="9"/>
  <c r="F181" i="9"/>
  <c r="J180" i="9"/>
  <c r="P167" i="9" s="1"/>
  <c r="K180" i="9"/>
  <c r="Q167" i="9" s="1"/>
  <c r="I180" i="9"/>
  <c r="O167" i="9" s="1"/>
  <c r="G180" i="9"/>
  <c r="H180" i="9"/>
  <c r="F180" i="9"/>
  <c r="J166" i="9"/>
  <c r="P166" i="9" s="1"/>
  <c r="K166" i="9"/>
  <c r="Q166" i="9" s="1"/>
  <c r="I166" i="9"/>
  <c r="O166" i="9" s="1"/>
  <c r="G166" i="9"/>
  <c r="H166" i="9"/>
  <c r="F166" i="9"/>
  <c r="J83" i="9"/>
  <c r="P83" i="9" s="1"/>
  <c r="K83" i="9"/>
  <c r="Q83" i="9" s="1"/>
  <c r="I83" i="9"/>
  <c r="O83" i="9" s="1"/>
  <c r="J113" i="9"/>
  <c r="P87" i="9" s="1"/>
  <c r="K113" i="9"/>
  <c r="Q87" i="9" s="1"/>
  <c r="I113" i="9"/>
  <c r="O87" i="9" s="1"/>
  <c r="G113" i="9"/>
  <c r="H113" i="9"/>
  <c r="F113" i="9"/>
  <c r="J109" i="9"/>
  <c r="P86" i="9" s="1"/>
  <c r="K109" i="9"/>
  <c r="Q86" i="9" s="1"/>
  <c r="I109" i="9"/>
  <c r="O86" i="9" s="1"/>
  <c r="G109" i="9"/>
  <c r="H109" i="9"/>
  <c r="F109" i="9"/>
  <c r="J90" i="9"/>
  <c r="P85" i="9" s="1"/>
  <c r="K90" i="9"/>
  <c r="Q85" i="9" s="1"/>
  <c r="G90" i="9"/>
  <c r="H90" i="9"/>
  <c r="I90" i="9"/>
  <c r="O85" i="9" s="1"/>
  <c r="F90" i="9"/>
  <c r="J84" i="9"/>
  <c r="P84" i="9" s="1"/>
  <c r="K84" i="9"/>
  <c r="Q84" i="9" s="1"/>
  <c r="I84" i="9"/>
  <c r="O84" i="9" s="1"/>
  <c r="G84" i="9"/>
  <c r="H84" i="9"/>
  <c r="F84" i="9"/>
  <c r="G83" i="9"/>
  <c r="H83" i="9"/>
  <c r="F83" i="9"/>
  <c r="J13" i="9" l="1"/>
  <c r="P13" i="9" s="1"/>
  <c r="K13" i="9"/>
  <c r="Q13" i="9" s="1"/>
  <c r="J15" i="9"/>
  <c r="P14" i="9" s="1"/>
  <c r="K15" i="9"/>
  <c r="Q14" i="9" s="1"/>
  <c r="J28" i="9"/>
  <c r="P15" i="9" s="1"/>
  <c r="K28" i="9"/>
  <c r="Q15" i="9" s="1"/>
  <c r="J33" i="9"/>
  <c r="P16" i="9" s="1"/>
  <c r="K33" i="9"/>
  <c r="Q16" i="9" s="1"/>
  <c r="J46" i="9"/>
  <c r="P17" i="9" s="1"/>
  <c r="K46" i="9"/>
  <c r="Q17" i="9" s="1"/>
  <c r="J48" i="9"/>
  <c r="P18" i="9" s="1"/>
  <c r="K48" i="9"/>
  <c r="Q18" i="9" s="1"/>
  <c r="I48" i="9"/>
  <c r="O18" i="9" s="1"/>
  <c r="I46" i="9"/>
  <c r="O17" i="9" s="1"/>
  <c r="I33" i="9"/>
  <c r="O16" i="9" s="1"/>
  <c r="I28" i="9"/>
  <c r="O15" i="9" s="1"/>
  <c r="I15" i="9"/>
  <c r="O14" i="9" s="1"/>
  <c r="I13" i="9"/>
  <c r="O13" i="9" s="1"/>
  <c r="I203" i="6"/>
  <c r="G48" i="9"/>
  <c r="H48" i="9"/>
  <c r="G46" i="9"/>
  <c r="H46" i="9"/>
  <c r="G33" i="9"/>
  <c r="H33" i="9"/>
  <c r="G28" i="9"/>
  <c r="H28" i="9"/>
  <c r="G15" i="9"/>
  <c r="H15" i="9"/>
  <c r="G13" i="9"/>
  <c r="H13" i="9"/>
  <c r="F48" i="9"/>
  <c r="F46" i="9"/>
  <c r="F33" i="9"/>
  <c r="F28" i="9"/>
  <c r="F15" i="9"/>
  <c r="F13" i="9"/>
  <c r="F311" i="9" l="1"/>
  <c r="I311" i="9" s="1"/>
  <c r="E307" i="9"/>
  <c r="H307" i="9" s="1"/>
  <c r="D307" i="9"/>
  <c r="G307" i="9" s="1"/>
  <c r="D312" i="9"/>
  <c r="G312" i="9" s="1"/>
  <c r="E310" i="9"/>
  <c r="H310" i="9" s="1"/>
  <c r="F307" i="9"/>
  <c r="I307" i="9" s="1"/>
  <c r="E311" i="9"/>
  <c r="H311" i="9" s="1"/>
  <c r="F312" i="9"/>
  <c r="I312" i="9" s="1"/>
  <c r="E312" i="9"/>
  <c r="H312" i="9" s="1"/>
  <c r="D308" i="9"/>
  <c r="G308" i="9" s="1"/>
  <c r="F308" i="9"/>
  <c r="I308" i="9" s="1"/>
  <c r="E309" i="9"/>
  <c r="H309" i="9" s="1"/>
  <c r="E308" i="9"/>
  <c r="H308" i="9" s="1"/>
  <c r="D309" i="9"/>
  <c r="G309" i="9" s="1"/>
  <c r="F309" i="9"/>
  <c r="I309" i="9" s="1"/>
  <c r="D310" i="9"/>
  <c r="G310" i="9" s="1"/>
  <c r="D311" i="9"/>
  <c r="G311" i="9" s="1"/>
  <c r="F310" i="9"/>
  <c r="I310" i="9" s="1"/>
  <c r="O227" i="6"/>
  <c r="P227" i="6"/>
  <c r="Q227" i="6"/>
  <c r="O231" i="6"/>
  <c r="P231" i="6"/>
  <c r="Q231" i="6"/>
  <c r="O233" i="6"/>
  <c r="P233" i="6"/>
  <c r="Q233" i="6"/>
  <c r="O235" i="6"/>
  <c r="P235" i="6"/>
  <c r="Q235" i="6"/>
  <c r="O239" i="6"/>
  <c r="P239" i="6"/>
  <c r="Q239" i="6"/>
  <c r="O243" i="6"/>
  <c r="P243" i="6"/>
  <c r="Q243" i="6"/>
  <c r="O247" i="6"/>
  <c r="P247" i="6"/>
  <c r="Q247" i="6"/>
  <c r="O248" i="6"/>
  <c r="P248" i="6"/>
  <c r="Q248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O163" i="6"/>
  <c r="P163" i="6"/>
  <c r="Q163" i="6"/>
  <c r="O164" i="6"/>
  <c r="P164" i="6"/>
  <c r="Q164" i="6"/>
  <c r="O167" i="6"/>
  <c r="P167" i="6"/>
  <c r="Q167" i="6"/>
  <c r="O171" i="6"/>
  <c r="P171" i="6"/>
  <c r="Q171" i="6"/>
  <c r="O174" i="6"/>
  <c r="P174" i="6"/>
  <c r="Q174" i="6"/>
  <c r="O177" i="6"/>
  <c r="P177" i="6"/>
  <c r="Q177" i="6"/>
  <c r="Q160" i="6"/>
  <c r="P160" i="6"/>
  <c r="O160" i="6"/>
  <c r="N160" i="6"/>
  <c r="O80" i="6"/>
  <c r="P80" i="6"/>
  <c r="Q80" i="6"/>
  <c r="O85" i="6"/>
  <c r="P85" i="6"/>
  <c r="Q85" i="6"/>
  <c r="O93" i="6"/>
  <c r="P93" i="6"/>
  <c r="Q93" i="6"/>
  <c r="O98" i="6"/>
  <c r="P98" i="6"/>
  <c r="Q98" i="6"/>
  <c r="O99" i="6"/>
  <c r="P99" i="6"/>
  <c r="Q99" i="6"/>
  <c r="O102" i="6"/>
  <c r="P102" i="6"/>
  <c r="Q102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O11" i="6"/>
  <c r="P11" i="6"/>
  <c r="Q11" i="6"/>
  <c r="O12" i="6"/>
  <c r="P12" i="6"/>
  <c r="Q12" i="6"/>
  <c r="O15" i="6"/>
  <c r="P15" i="6"/>
  <c r="Q15" i="6"/>
  <c r="O16" i="6"/>
  <c r="P16" i="6"/>
  <c r="Q16" i="6"/>
  <c r="O19" i="6"/>
  <c r="P19" i="6"/>
  <c r="Q19" i="6"/>
  <c r="O20" i="6"/>
  <c r="P20" i="6"/>
  <c r="Q20" i="6"/>
  <c r="O25" i="6"/>
  <c r="P25" i="6"/>
  <c r="Q25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J61" i="6"/>
  <c r="P29" i="6" s="1"/>
  <c r="K61" i="6"/>
  <c r="Q29" i="6" s="1"/>
  <c r="I61" i="6"/>
  <c r="O29" i="6" s="1"/>
  <c r="G61" i="6"/>
  <c r="H61" i="6"/>
  <c r="F61" i="6"/>
  <c r="J56" i="6"/>
  <c r="P28" i="6" s="1"/>
  <c r="K56" i="6"/>
  <c r="Q28" i="6" s="1"/>
  <c r="I56" i="6"/>
  <c r="O28" i="6" s="1"/>
  <c r="G56" i="6"/>
  <c r="H56" i="6"/>
  <c r="F56" i="6"/>
  <c r="J264" i="6"/>
  <c r="P241" i="6" s="1"/>
  <c r="K264" i="6"/>
  <c r="Q241" i="6" s="1"/>
  <c r="I264" i="6"/>
  <c r="O241" i="6" s="1"/>
  <c r="G264" i="6"/>
  <c r="H264" i="6"/>
  <c r="F264" i="6"/>
  <c r="J255" i="6"/>
  <c r="P238" i="6" s="1"/>
  <c r="K255" i="6"/>
  <c r="Q238" i="6" s="1"/>
  <c r="I255" i="6"/>
  <c r="O238" i="6" s="1"/>
  <c r="G255" i="6"/>
  <c r="H255" i="6"/>
  <c r="F255" i="6"/>
  <c r="J266" i="6"/>
  <c r="P242" i="6" s="1"/>
  <c r="K266" i="6"/>
  <c r="Q242" i="6" s="1"/>
  <c r="I266" i="6"/>
  <c r="O242" i="6" s="1"/>
  <c r="G266" i="6"/>
  <c r="H266" i="6"/>
  <c r="F266" i="6"/>
  <c r="K275" i="6"/>
  <c r="Q244" i="6" s="1"/>
  <c r="J275" i="6"/>
  <c r="P244" i="6" s="1"/>
  <c r="I275" i="6"/>
  <c r="O244" i="6" s="1"/>
  <c r="H275" i="6"/>
  <c r="G275" i="6"/>
  <c r="F275" i="6"/>
  <c r="K250" i="6"/>
  <c r="Q236" i="6" s="1"/>
  <c r="J250" i="6"/>
  <c r="P236" i="6" s="1"/>
  <c r="I250" i="6"/>
  <c r="O236" i="6" s="1"/>
  <c r="H250" i="6"/>
  <c r="G250" i="6"/>
  <c r="F250" i="6"/>
  <c r="K285" i="6"/>
  <c r="Q249" i="6" s="1"/>
  <c r="J285" i="6"/>
  <c r="P249" i="6" s="1"/>
  <c r="I285" i="6"/>
  <c r="O249" i="6" s="1"/>
  <c r="H285" i="6"/>
  <c r="G285" i="6"/>
  <c r="F285" i="6"/>
  <c r="K277" i="6"/>
  <c r="Q245" i="6" s="1"/>
  <c r="J277" i="6"/>
  <c r="P245" i="6" s="1"/>
  <c r="I277" i="6"/>
  <c r="O245" i="6" s="1"/>
  <c r="H277" i="6"/>
  <c r="G277" i="6"/>
  <c r="F277" i="6"/>
  <c r="K252" i="6"/>
  <c r="Q237" i="6" s="1"/>
  <c r="J252" i="6"/>
  <c r="P237" i="6" s="1"/>
  <c r="I252" i="6"/>
  <c r="O237" i="6" s="1"/>
  <c r="G252" i="6"/>
  <c r="H252" i="6"/>
  <c r="F252" i="6"/>
  <c r="K280" i="6"/>
  <c r="Q246" i="6" s="1"/>
  <c r="J280" i="6"/>
  <c r="P246" i="6" s="1"/>
  <c r="I280" i="6"/>
  <c r="O246" i="6" s="1"/>
  <c r="H280" i="6"/>
  <c r="G280" i="6"/>
  <c r="F280" i="6"/>
  <c r="K261" i="6"/>
  <c r="Q240" i="6" s="1"/>
  <c r="J261" i="6"/>
  <c r="P240" i="6" s="1"/>
  <c r="I261" i="6"/>
  <c r="O240" i="6" s="1"/>
  <c r="H261" i="6"/>
  <c r="G261" i="6"/>
  <c r="F261" i="6"/>
  <c r="J243" i="6"/>
  <c r="P232" i="6" s="1"/>
  <c r="K243" i="6"/>
  <c r="Q232" i="6" s="1"/>
  <c r="I243" i="6"/>
  <c r="O232" i="6" s="1"/>
  <c r="G243" i="6"/>
  <c r="H243" i="6"/>
  <c r="F243" i="6"/>
  <c r="K247" i="6"/>
  <c r="Q234" i="6" s="1"/>
  <c r="J247" i="6"/>
  <c r="P234" i="6" s="1"/>
  <c r="I247" i="6"/>
  <c r="O234" i="6" s="1"/>
  <c r="H247" i="6"/>
  <c r="G247" i="6"/>
  <c r="F247" i="6"/>
  <c r="K240" i="6"/>
  <c r="Q230" i="6" s="1"/>
  <c r="J240" i="6"/>
  <c r="P230" i="6" s="1"/>
  <c r="I240" i="6"/>
  <c r="O230" i="6" s="1"/>
  <c r="H240" i="6"/>
  <c r="G240" i="6"/>
  <c r="F240" i="6"/>
  <c r="G228" i="6"/>
  <c r="H228" i="6"/>
  <c r="F228" i="6"/>
  <c r="J230" i="6"/>
  <c r="P229" i="6" s="1"/>
  <c r="K230" i="6"/>
  <c r="Q229" i="6" s="1"/>
  <c r="I230" i="6"/>
  <c r="O229" i="6" s="1"/>
  <c r="G230" i="6"/>
  <c r="H230" i="6"/>
  <c r="F230" i="6"/>
  <c r="J228" i="6"/>
  <c r="P228" i="6" s="1"/>
  <c r="K228" i="6"/>
  <c r="Q228" i="6" s="1"/>
  <c r="I228" i="6"/>
  <c r="O228" i="6" s="1"/>
  <c r="J217" i="6"/>
  <c r="P183" i="6" s="1"/>
  <c r="K217" i="6"/>
  <c r="Q183" i="6" s="1"/>
  <c r="I217" i="6"/>
  <c r="O183" i="6" s="1"/>
  <c r="G217" i="6"/>
  <c r="H217" i="6"/>
  <c r="F217" i="6"/>
  <c r="K215" i="6"/>
  <c r="Q182" i="6" s="1"/>
  <c r="J215" i="6"/>
  <c r="P182" i="6" s="1"/>
  <c r="I215" i="6"/>
  <c r="O182" i="6" s="1"/>
  <c r="H215" i="6"/>
  <c r="G215" i="6"/>
  <c r="F215" i="6"/>
  <c r="K213" i="6"/>
  <c r="Q181" i="6" s="1"/>
  <c r="J213" i="6"/>
  <c r="P181" i="6" s="1"/>
  <c r="I213" i="6"/>
  <c r="O181" i="6" s="1"/>
  <c r="H213" i="6"/>
  <c r="G213" i="6"/>
  <c r="F213" i="6"/>
  <c r="J211" i="6"/>
  <c r="P180" i="6" s="1"/>
  <c r="K211" i="6"/>
  <c r="Q180" i="6" s="1"/>
  <c r="I211" i="6"/>
  <c r="O180" i="6" s="1"/>
  <c r="G211" i="6"/>
  <c r="H211" i="6"/>
  <c r="F211" i="6"/>
  <c r="J209" i="6"/>
  <c r="P179" i="6" s="1"/>
  <c r="K209" i="6"/>
  <c r="Q179" i="6" s="1"/>
  <c r="G209" i="6"/>
  <c r="H209" i="6"/>
  <c r="I209" i="6"/>
  <c r="O179" i="6" s="1"/>
  <c r="F209" i="6"/>
  <c r="J207" i="6"/>
  <c r="P178" i="6" s="1"/>
  <c r="K207" i="6"/>
  <c r="Q178" i="6" s="1"/>
  <c r="I207" i="6"/>
  <c r="O178" i="6" s="1"/>
  <c r="G207" i="6"/>
  <c r="H207" i="6"/>
  <c r="F207" i="6"/>
  <c r="J203" i="6"/>
  <c r="P176" i="6" s="1"/>
  <c r="K203" i="6"/>
  <c r="Q176" i="6" s="1"/>
  <c r="O176" i="6"/>
  <c r="G203" i="6"/>
  <c r="H203" i="6"/>
  <c r="F203" i="6"/>
  <c r="J201" i="6"/>
  <c r="P175" i="6" s="1"/>
  <c r="K201" i="6"/>
  <c r="Q175" i="6" s="1"/>
  <c r="I201" i="6"/>
  <c r="O175" i="6" s="1"/>
  <c r="G201" i="6"/>
  <c r="H201" i="6"/>
  <c r="F201" i="6"/>
  <c r="J197" i="6"/>
  <c r="P173" i="6" s="1"/>
  <c r="K197" i="6"/>
  <c r="Q173" i="6" s="1"/>
  <c r="I197" i="6"/>
  <c r="O173" i="6" s="1"/>
  <c r="G197" i="6"/>
  <c r="H197" i="6"/>
  <c r="F197" i="6"/>
  <c r="J195" i="6"/>
  <c r="P172" i="6" s="1"/>
  <c r="K195" i="6"/>
  <c r="Q172" i="6" s="1"/>
  <c r="I195" i="6"/>
  <c r="O172" i="6" s="1"/>
  <c r="G195" i="6"/>
  <c r="H195" i="6"/>
  <c r="F195" i="6"/>
  <c r="J191" i="6"/>
  <c r="P170" i="6" s="1"/>
  <c r="K191" i="6"/>
  <c r="Q170" i="6" s="1"/>
  <c r="I191" i="6"/>
  <c r="O170" i="6" s="1"/>
  <c r="G191" i="6"/>
  <c r="H191" i="6"/>
  <c r="F191" i="6"/>
  <c r="J189" i="6"/>
  <c r="P169" i="6" s="1"/>
  <c r="K189" i="6"/>
  <c r="Q169" i="6" s="1"/>
  <c r="I189" i="6"/>
  <c r="O169" i="6" s="1"/>
  <c r="G189" i="6"/>
  <c r="H189" i="6"/>
  <c r="F189" i="6"/>
  <c r="J185" i="6"/>
  <c r="P168" i="6" s="1"/>
  <c r="K185" i="6"/>
  <c r="Q168" i="6" s="1"/>
  <c r="I185" i="6"/>
  <c r="O168" i="6" s="1"/>
  <c r="G185" i="6"/>
  <c r="H185" i="6"/>
  <c r="F185" i="6"/>
  <c r="J181" i="6"/>
  <c r="P166" i="6" s="1"/>
  <c r="K181" i="6"/>
  <c r="Q166" i="6" s="1"/>
  <c r="I181" i="6"/>
  <c r="O166" i="6" s="1"/>
  <c r="G181" i="6"/>
  <c r="H181" i="6"/>
  <c r="F181" i="6"/>
  <c r="J179" i="6"/>
  <c r="P165" i="6" s="1"/>
  <c r="K179" i="6"/>
  <c r="Q165" i="6" s="1"/>
  <c r="I179" i="6"/>
  <c r="O165" i="6" s="1"/>
  <c r="G179" i="6"/>
  <c r="H179" i="6"/>
  <c r="F179" i="6"/>
  <c r="J164" i="6"/>
  <c r="P162" i="6" s="1"/>
  <c r="K164" i="6"/>
  <c r="Q162" i="6" s="1"/>
  <c r="I164" i="6"/>
  <c r="O162" i="6" s="1"/>
  <c r="G164" i="6"/>
  <c r="H164" i="6"/>
  <c r="F164" i="6"/>
  <c r="J161" i="6"/>
  <c r="P161" i="6" s="1"/>
  <c r="K161" i="6"/>
  <c r="Q161" i="6" s="1"/>
  <c r="I161" i="6"/>
  <c r="O161" i="6" s="1"/>
  <c r="G161" i="6"/>
  <c r="H161" i="6"/>
  <c r="F161" i="6"/>
  <c r="D318" i="6" l="1"/>
  <c r="G318" i="6" s="1"/>
  <c r="F323" i="6"/>
  <c r="I323" i="6" s="1"/>
  <c r="E326" i="6"/>
  <c r="H326" i="6" s="1"/>
  <c r="E323" i="6"/>
  <c r="H323" i="6" s="1"/>
  <c r="D304" i="6"/>
  <c r="G304" i="6" s="1"/>
  <c r="D330" i="6"/>
  <c r="G330" i="6" s="1"/>
  <c r="E302" i="6"/>
  <c r="H302" i="6" s="1"/>
  <c r="F304" i="6"/>
  <c r="I304" i="6" s="1"/>
  <c r="D324" i="6"/>
  <c r="G324" i="6" s="1"/>
  <c r="F318" i="6"/>
  <c r="I318" i="6" s="1"/>
  <c r="F330" i="6"/>
  <c r="I330" i="6" s="1"/>
  <c r="E324" i="6"/>
  <c r="H324" i="6" s="1"/>
  <c r="E318" i="6"/>
  <c r="H318" i="6" s="1"/>
  <c r="D325" i="6"/>
  <c r="G325" i="6" s="1"/>
  <c r="F326" i="6"/>
  <c r="I326" i="6" s="1"/>
  <c r="D329" i="6"/>
  <c r="G329" i="6" s="1"/>
  <c r="E330" i="6"/>
  <c r="H330" i="6" s="1"/>
  <c r="D302" i="6"/>
  <c r="G302" i="6" s="1"/>
  <c r="F324" i="6"/>
  <c r="I324" i="6" s="1"/>
  <c r="D316" i="6"/>
  <c r="G316" i="6" s="1"/>
  <c r="D326" i="6"/>
  <c r="G326" i="6" s="1"/>
  <c r="E304" i="6"/>
  <c r="H304" i="6" s="1"/>
  <c r="F325" i="6"/>
  <c r="I325" i="6" s="1"/>
  <c r="E329" i="6"/>
  <c r="H329" i="6" s="1"/>
  <c r="F316" i="6"/>
  <c r="I316" i="6" s="1"/>
  <c r="D323" i="6"/>
  <c r="G323" i="6" s="1"/>
  <c r="E325" i="6"/>
  <c r="H325" i="6" s="1"/>
  <c r="F329" i="6"/>
  <c r="I329" i="6" s="1"/>
  <c r="F302" i="6"/>
  <c r="I302" i="6" s="1"/>
  <c r="E316" i="6"/>
  <c r="H316" i="6" s="1"/>
  <c r="J149" i="6"/>
  <c r="P101" i="6" s="1"/>
  <c r="K149" i="6"/>
  <c r="Q101" i="6" s="1"/>
  <c r="I149" i="6"/>
  <c r="O101" i="6" s="1"/>
  <c r="G149" i="6"/>
  <c r="H149" i="6"/>
  <c r="F149" i="6"/>
  <c r="J145" i="6"/>
  <c r="P100" i="6" s="1"/>
  <c r="K145" i="6"/>
  <c r="Q100" i="6" s="1"/>
  <c r="I145" i="6"/>
  <c r="O100" i="6" s="1"/>
  <c r="G145" i="6"/>
  <c r="H145" i="6"/>
  <c r="F145" i="6"/>
  <c r="J141" i="6"/>
  <c r="P97" i="6" s="1"/>
  <c r="K141" i="6"/>
  <c r="Q97" i="6" s="1"/>
  <c r="I141" i="6"/>
  <c r="O97" i="6" s="1"/>
  <c r="G141" i="6"/>
  <c r="H141" i="6"/>
  <c r="F141" i="6"/>
  <c r="J137" i="6"/>
  <c r="P96" i="6" s="1"/>
  <c r="K137" i="6"/>
  <c r="Q96" i="6" s="1"/>
  <c r="I137" i="6"/>
  <c r="O96" i="6" s="1"/>
  <c r="G137" i="6"/>
  <c r="H137" i="6"/>
  <c r="F137" i="6"/>
  <c r="J133" i="6"/>
  <c r="P95" i="6" s="1"/>
  <c r="K133" i="6"/>
  <c r="Q95" i="6" s="1"/>
  <c r="I133" i="6"/>
  <c r="O95" i="6" s="1"/>
  <c r="G133" i="6"/>
  <c r="H133" i="6"/>
  <c r="F133" i="6"/>
  <c r="J131" i="6"/>
  <c r="P94" i="6" s="1"/>
  <c r="K131" i="6"/>
  <c r="Q94" i="6" s="1"/>
  <c r="I131" i="6"/>
  <c r="O94" i="6" s="1"/>
  <c r="G131" i="6"/>
  <c r="H131" i="6"/>
  <c r="F131" i="6"/>
  <c r="J127" i="6"/>
  <c r="P92" i="6" s="1"/>
  <c r="K127" i="6"/>
  <c r="Q92" i="6" s="1"/>
  <c r="I127" i="6"/>
  <c r="O92" i="6" s="1"/>
  <c r="G127" i="6"/>
  <c r="H127" i="6"/>
  <c r="F127" i="6"/>
  <c r="J124" i="6"/>
  <c r="P91" i="6" s="1"/>
  <c r="K124" i="6"/>
  <c r="Q91" i="6" s="1"/>
  <c r="I124" i="6"/>
  <c r="O91" i="6" s="1"/>
  <c r="G124" i="6"/>
  <c r="H124" i="6"/>
  <c r="F124" i="6"/>
  <c r="J122" i="6"/>
  <c r="P90" i="6" s="1"/>
  <c r="K122" i="6"/>
  <c r="Q90" i="6" s="1"/>
  <c r="I122" i="6"/>
  <c r="O90" i="6" s="1"/>
  <c r="G122" i="6"/>
  <c r="H122" i="6"/>
  <c r="F122" i="6"/>
  <c r="J120" i="6"/>
  <c r="P89" i="6" s="1"/>
  <c r="K120" i="6"/>
  <c r="Q89" i="6" s="1"/>
  <c r="I120" i="6"/>
  <c r="O89" i="6" s="1"/>
  <c r="G120" i="6"/>
  <c r="H120" i="6"/>
  <c r="F120" i="6"/>
  <c r="J114" i="6"/>
  <c r="P88" i="6" s="1"/>
  <c r="K114" i="6"/>
  <c r="Q88" i="6" s="1"/>
  <c r="I114" i="6"/>
  <c r="O88" i="6" s="1"/>
  <c r="G114" i="6"/>
  <c r="H114" i="6"/>
  <c r="F114" i="6"/>
  <c r="J111" i="6"/>
  <c r="P87" i="6" s="1"/>
  <c r="K111" i="6"/>
  <c r="Q87" i="6" s="1"/>
  <c r="I111" i="6"/>
  <c r="O87" i="6" s="1"/>
  <c r="G111" i="6"/>
  <c r="H111" i="6"/>
  <c r="F111" i="6"/>
  <c r="J103" i="6"/>
  <c r="P86" i="6" s="1"/>
  <c r="K103" i="6"/>
  <c r="Q86" i="6" s="1"/>
  <c r="I103" i="6"/>
  <c r="O86" i="6" s="1"/>
  <c r="G103" i="6"/>
  <c r="H103" i="6"/>
  <c r="F103" i="6"/>
  <c r="J99" i="6"/>
  <c r="P84" i="6" s="1"/>
  <c r="K99" i="6"/>
  <c r="Q84" i="6" s="1"/>
  <c r="I99" i="6"/>
  <c r="O84" i="6" s="1"/>
  <c r="G99" i="6"/>
  <c r="H99" i="6"/>
  <c r="F99" i="6"/>
  <c r="J97" i="6"/>
  <c r="P83" i="6" s="1"/>
  <c r="K97" i="6"/>
  <c r="Q83" i="6" s="1"/>
  <c r="I97" i="6"/>
  <c r="O83" i="6" s="1"/>
  <c r="G97" i="6"/>
  <c r="H97" i="6"/>
  <c r="F97" i="6"/>
  <c r="J92" i="6"/>
  <c r="P82" i="6" s="1"/>
  <c r="K92" i="6"/>
  <c r="Q82" i="6" s="1"/>
  <c r="I92" i="6"/>
  <c r="O82" i="6" s="1"/>
  <c r="G92" i="6"/>
  <c r="H92" i="6"/>
  <c r="F92" i="6"/>
  <c r="J81" i="6"/>
  <c r="P81" i="6" s="1"/>
  <c r="K81" i="6"/>
  <c r="Q81" i="6" s="1"/>
  <c r="I81" i="6"/>
  <c r="O81" i="6" s="1"/>
  <c r="G81" i="6"/>
  <c r="H81" i="6"/>
  <c r="F81" i="6"/>
  <c r="K13" i="6"/>
  <c r="Q13" i="6" s="1"/>
  <c r="J13" i="6"/>
  <c r="P13" i="6" s="1"/>
  <c r="I13" i="6"/>
  <c r="O13" i="6" s="1"/>
  <c r="H13" i="6"/>
  <c r="G13" i="6"/>
  <c r="F13" i="6"/>
  <c r="J54" i="6"/>
  <c r="P27" i="6" s="1"/>
  <c r="K54" i="6"/>
  <c r="Q27" i="6" s="1"/>
  <c r="I54" i="6"/>
  <c r="O27" i="6" s="1"/>
  <c r="G54" i="6"/>
  <c r="H54" i="6"/>
  <c r="F54" i="6"/>
  <c r="J49" i="6"/>
  <c r="P26" i="6" s="1"/>
  <c r="K49" i="6"/>
  <c r="Q26" i="6" s="1"/>
  <c r="I49" i="6"/>
  <c r="O26" i="6" s="1"/>
  <c r="G49" i="6"/>
  <c r="H49" i="6"/>
  <c r="F49" i="6"/>
  <c r="J46" i="6"/>
  <c r="P24" i="6" s="1"/>
  <c r="K46" i="6"/>
  <c r="Q24" i="6" s="1"/>
  <c r="I46" i="6"/>
  <c r="O24" i="6" s="1"/>
  <c r="G46" i="6"/>
  <c r="H46" i="6"/>
  <c r="F46" i="6"/>
  <c r="J40" i="6"/>
  <c r="P23" i="6" s="1"/>
  <c r="K40" i="6"/>
  <c r="Q23" i="6" s="1"/>
  <c r="I40" i="6"/>
  <c r="O23" i="6" s="1"/>
  <c r="G40" i="6"/>
  <c r="H40" i="6"/>
  <c r="F40" i="6"/>
  <c r="J37" i="6"/>
  <c r="P22" i="6" s="1"/>
  <c r="K37" i="6"/>
  <c r="Q22" i="6" s="1"/>
  <c r="I37" i="6"/>
  <c r="O22" i="6" s="1"/>
  <c r="G37" i="6"/>
  <c r="H37" i="6"/>
  <c r="F37" i="6"/>
  <c r="J35" i="6"/>
  <c r="P21" i="6" s="1"/>
  <c r="K35" i="6"/>
  <c r="Q21" i="6" s="1"/>
  <c r="I35" i="6"/>
  <c r="O21" i="6" s="1"/>
  <c r="G35" i="6"/>
  <c r="H35" i="6"/>
  <c r="F35" i="6"/>
  <c r="J30" i="6"/>
  <c r="P18" i="6" s="1"/>
  <c r="K30" i="6"/>
  <c r="Q18" i="6" s="1"/>
  <c r="I30" i="6"/>
  <c r="O18" i="6" s="1"/>
  <c r="G30" i="6"/>
  <c r="H30" i="6"/>
  <c r="F30" i="6"/>
  <c r="J27" i="6"/>
  <c r="P17" i="6" s="1"/>
  <c r="K27" i="6"/>
  <c r="Q17" i="6" s="1"/>
  <c r="I27" i="6"/>
  <c r="O17" i="6" s="1"/>
  <c r="G27" i="6"/>
  <c r="H27" i="6"/>
  <c r="F27" i="6"/>
  <c r="J16" i="6"/>
  <c r="P14" i="6" s="1"/>
  <c r="K16" i="6"/>
  <c r="Q14" i="6" s="1"/>
  <c r="I16" i="6"/>
  <c r="G16" i="6"/>
  <c r="H16" i="6"/>
  <c r="F16" i="6"/>
  <c r="D301" i="6" s="1"/>
  <c r="G301" i="6" s="1"/>
  <c r="E322" i="6" l="1"/>
  <c r="H322" i="6" s="1"/>
  <c r="F308" i="6"/>
  <c r="I308" i="6" s="1"/>
  <c r="E308" i="6"/>
  <c r="H308" i="6" s="1"/>
  <c r="D319" i="6"/>
  <c r="G319" i="6" s="1"/>
  <c r="F317" i="6"/>
  <c r="I317" i="6" s="1"/>
  <c r="D307" i="6"/>
  <c r="G307" i="6" s="1"/>
  <c r="E310" i="6"/>
  <c r="H310" i="6" s="1"/>
  <c r="D315" i="6"/>
  <c r="G315" i="6" s="1"/>
  <c r="E317" i="6"/>
  <c r="H317" i="6" s="1"/>
  <c r="D308" i="6"/>
  <c r="G308" i="6" s="1"/>
  <c r="D314" i="6"/>
  <c r="G314" i="6" s="1"/>
  <c r="D320" i="6"/>
  <c r="G320" i="6" s="1"/>
  <c r="F315" i="6"/>
  <c r="I315" i="6" s="1"/>
  <c r="E315" i="6"/>
  <c r="H315" i="6" s="1"/>
  <c r="F313" i="6"/>
  <c r="I313" i="6" s="1"/>
  <c r="F319" i="6"/>
  <c r="I319" i="6" s="1"/>
  <c r="F327" i="6"/>
  <c r="I327" i="6" s="1"/>
  <c r="E328" i="6"/>
  <c r="H328" i="6" s="1"/>
  <c r="D322" i="6"/>
  <c r="G322" i="6" s="1"/>
  <c r="F320" i="6"/>
  <c r="I320" i="6" s="1"/>
  <c r="E307" i="6"/>
  <c r="H307" i="6" s="1"/>
  <c r="E300" i="6"/>
  <c r="H300" i="6" s="1"/>
  <c r="E306" i="6"/>
  <c r="H306" i="6" s="1"/>
  <c r="D311" i="6"/>
  <c r="G311" i="6" s="1"/>
  <c r="E312" i="6"/>
  <c r="H312" i="6" s="1"/>
  <c r="D321" i="6"/>
  <c r="G321" i="6" s="1"/>
  <c r="F300" i="6"/>
  <c r="I300" i="6" s="1"/>
  <c r="D305" i="6"/>
  <c r="G305" i="6" s="1"/>
  <c r="E313" i="6"/>
  <c r="H313" i="6" s="1"/>
  <c r="E319" i="6"/>
  <c r="H319" i="6" s="1"/>
  <c r="E327" i="6"/>
  <c r="H327" i="6" s="1"/>
  <c r="F322" i="6"/>
  <c r="I322" i="6" s="1"/>
  <c r="D306" i="6"/>
  <c r="G306" i="6" s="1"/>
  <c r="E314" i="6"/>
  <c r="H314" i="6" s="1"/>
  <c r="D327" i="6"/>
  <c r="G327" i="6" s="1"/>
  <c r="F306" i="6"/>
  <c r="I306" i="6" s="1"/>
  <c r="F301" i="6"/>
  <c r="I301" i="6" s="1"/>
  <c r="F305" i="6"/>
  <c r="I305" i="6" s="1"/>
  <c r="D328" i="6"/>
  <c r="G328" i="6" s="1"/>
  <c r="F307" i="6"/>
  <c r="I307" i="6" s="1"/>
  <c r="F314" i="6"/>
  <c r="I314" i="6" s="1"/>
  <c r="D300" i="6"/>
  <c r="G300" i="6" s="1"/>
  <c r="D313" i="6"/>
  <c r="G313" i="6" s="1"/>
  <c r="E320" i="6"/>
  <c r="H320" i="6" s="1"/>
  <c r="F312" i="6"/>
  <c r="I312" i="6" s="1"/>
  <c r="F311" i="6"/>
  <c r="I311" i="6" s="1"/>
  <c r="F321" i="6"/>
  <c r="I321" i="6" s="1"/>
  <c r="E301" i="6"/>
  <c r="H301" i="6" s="1"/>
  <c r="D310" i="6"/>
  <c r="G310" i="6" s="1"/>
  <c r="E311" i="6"/>
  <c r="H311" i="6" s="1"/>
  <c r="D317" i="6"/>
  <c r="G317" i="6" s="1"/>
  <c r="E321" i="6"/>
  <c r="H321" i="6" s="1"/>
  <c r="E305" i="6"/>
  <c r="H305" i="6" s="1"/>
  <c r="F328" i="6"/>
  <c r="I328" i="6" s="1"/>
  <c r="D312" i="6"/>
  <c r="G312" i="6" s="1"/>
  <c r="F310" i="6"/>
  <c r="I310" i="6" s="1"/>
  <c r="O14" i="6"/>
</calcChain>
</file>

<file path=xl/sharedStrings.xml><?xml version="1.0" encoding="utf-8"?>
<sst xmlns="http://schemas.openxmlformats.org/spreadsheetml/2006/main" count="3281" uniqueCount="511">
  <si>
    <t>Data</t>
  </si>
  <si>
    <t>Hora</t>
  </si>
  <si>
    <t>https://www.facebook.com/europeanparliament/photos/a.188069385106.246713.178362315106/10156367540475107/?type=3&amp;theater</t>
  </si>
  <si>
    <t>https://www.facebook.com/europeanparliament/photos/a.188069385106.246713.178362315106/10156362684590107/?type=3&amp;theater</t>
  </si>
  <si>
    <t>https://www.facebook.com/europeanparliament/videos/vb.178362315106/10156382155220107/?type=2&amp;theater</t>
  </si>
  <si>
    <t>https://www.facebook.com/europeanparliament/photos/a.188069385106.246713.178362315106/10156382612565107/?type=3&amp;theater</t>
  </si>
  <si>
    <t>https://www.facebook.com/europeanparliament/videos/vb.178362315106/10156384753335107/?type=2&amp;theater</t>
  </si>
  <si>
    <t>https://www.facebook.com/europeanparliament/videos/vb.178362315106/10156385229545107/?type=2&amp;theater</t>
  </si>
  <si>
    <t>https://www.facebook.com/europeanparliament/photos/a.188069385106.246713.178362315106/10156385448700107/?type=3&amp;theater</t>
  </si>
  <si>
    <t>https://www.facebook.com/europeanparliament/videos/vb.178362315106/10156388223100107/?type=2&amp;theater</t>
  </si>
  <si>
    <t>https://www.facebook.com/europeanparliament/photos/a.188069385106.246713.178362315106/10156388139710107/?type=3&amp;theater</t>
  </si>
  <si>
    <t>https://www.facebook.com/europeanparliament/photos/a.188069385106.246713.178362315106/10156390201440107/?type=3&amp;theater</t>
  </si>
  <si>
    <t>https://www.facebook.com/europeanparliament/posts/10156390186130107</t>
  </si>
  <si>
    <t>https://www.facebook.com/europeanparliament/photos/a.188069385106.246713.178362315106/10156390506425107/?type=3&amp;theater</t>
  </si>
  <si>
    <t>https://www.facebook.com/europeanparliament/photos/a.188069385106.246713.178362315106/10156390291180107/?type=3&amp;theater</t>
  </si>
  <si>
    <t>https://www.facebook.com/europeanparliament/videos/vb.178362315106/10156390202435107/?type=2&amp;theater</t>
  </si>
  <si>
    <t>https://www.facebook.com/europeanparliament/photos/a.188069385106.246713.178362315106/10156399880475107/?type=3&amp;theater</t>
  </si>
  <si>
    <t>https://www.facebook.com/europeanparliament/photos/a.188069385106.246713.178362315106/10156401679590107/?type=3&amp;theater</t>
  </si>
  <si>
    <t>https://www.facebook.com/europeanparliament/photos/a.188069385106.246713.178362315106/10156402104830107/?type=3&amp;theater</t>
  </si>
  <si>
    <t>https://www.facebook.com/europeanparliament/photos/a.188069385106.246713.178362315106/10156404267845107/?type=3&amp;theater</t>
  </si>
  <si>
    <t>https://www.facebook.com/europeanparliament/photos/a.188069385106.246713.178362315106/10156404379765107/?type=3&amp;theater</t>
  </si>
  <si>
    <t>https://www.facebook.com/europeanparliament/photos/a.188069385106.246713.178362315106/10156404792285107/?type=3&amp;theater</t>
  </si>
  <si>
    <t>https://www.facebook.com/europeanparliament/photos/a.188069385106.246713.178362315106/10156362938685107/?type=3&amp;theater</t>
  </si>
  <si>
    <t>https://www.facebook.com/europeanparliament/photos/a.188069385106.246713.178362315106/10156407405905107/?type=3&amp;theater</t>
  </si>
  <si>
    <t>https://www.facebook.com/europeanparliament/photos/a.188069385106.246713.178362315106/10156407485565107/?type=3&amp;theater</t>
  </si>
  <si>
    <t>https://www.facebook.com/europeanparliament/videos/vb.178362315106/10156409352570107/?type=2&amp;theater</t>
  </si>
  <si>
    <t>https://www.facebook.com/europeanparliament/photos/a.188069385106.246713.178362315106/10156409484405107/?type=3&amp;theater</t>
  </si>
  <si>
    <t>https://www.facebook.com/europeanparliament/posts/10156412295410107</t>
  </si>
  <si>
    <t>https://www.facebook.com/europeanparliament/videos/vb.178362315106/10156413314615107/?type=2&amp;theater</t>
  </si>
  <si>
    <t>https://www.facebook.com/europeanparliament/photos/a.188069385106.246713.178362315106/10156415388835107/?type=3&amp;theater</t>
  </si>
  <si>
    <t>https://www.facebook.com/europeanparliament/photos/a.10151438051605107.835195.178362315106/10156418774185107/?type=3&amp;theater</t>
  </si>
  <si>
    <t>https://www.facebook.com/europeanparliament/photos/a.188069385106.246713.178362315106/10156421506930107/?type=3&amp;theater</t>
  </si>
  <si>
    <t>https://www.facebook.com/europeanparliament/photos/a.188069385106.246713.178362315106/10156421647695107/?type=3&amp;theater</t>
  </si>
  <si>
    <t>https://www.facebook.com/europeanparliament/photos/a.188069385106.246713.178362315106/10156423845945107/?type=3&amp;theater</t>
  </si>
  <si>
    <t>https://www.facebook.com/europeanparliament/videos/vb.178362315106/10156424207590107/?type=2&amp;theater</t>
  </si>
  <si>
    <t>https://www.facebook.com/europeanparliament/photos/a.188069385106.246713.178362315106/10156426569555107/?type=3&amp;theater</t>
  </si>
  <si>
    <t>https://www.facebook.com/europeanparliament/photos/a.188069385106.246713.178362315106/10156427253340107/?type=3&amp;theater</t>
  </si>
  <si>
    <t>https://www.facebook.com/europeanparliament/photos/a.188069385106.246713.178362315106/10156427338875107/?type=3&amp;theater</t>
  </si>
  <si>
    <t>https://www.facebook.com/europeanparliament/photos/a.188069385106.246713.178362315106/10156429538855107/?type=3&amp;theater</t>
  </si>
  <si>
    <t>https://www.facebook.com/europeanparliament/videos/vb.178362315106/10156430055330107/?type=2&amp;theater</t>
  </si>
  <si>
    <t>https://www.facebook.com/europeanparliament/videos/vb.178362315106/10156438483910107/?type=2&amp;theater</t>
  </si>
  <si>
    <t>https://www.facebook.com/europeanparliament/photos/a.188069385106.246713.178362315106/10156439225180107/?type=3&amp;theater</t>
  </si>
  <si>
    <t>https://www.facebook.com/europeanparliament/photos/a.188069385106.246713.178362315106/10156441269715107/?type=3&amp;theater</t>
  </si>
  <si>
    <t>https://www.facebook.com/europeanparliament/videos/vb.178362315106/10156441374710107/?type=2&amp;theater</t>
  </si>
  <si>
    <t>https://www.facebook.com/europeanparliament/videos/vb.178362315106/10156441915135107/?type=2&amp;theater</t>
  </si>
  <si>
    <t>https://www.facebook.com/europeanparliament/photos/a.188069385106.246713.178362315106/10156444281555107/?type=3&amp;theater</t>
  </si>
  <si>
    <t>https://www.facebook.com/europeanparliament/videos/vb.178362315106/10156444296765107/?type=2&amp;theater</t>
  </si>
  <si>
    <t>https://www.facebook.com/europeanparliament/photos/a.188069385106.246713.178362315106/10156444294450107/?type=3&amp;theater</t>
  </si>
  <si>
    <t>https://www.facebook.com/europeanparliament/photos/a.188069385106.246713.178362315106/10156447253730107/?type=3&amp;theater</t>
  </si>
  <si>
    <t>https://www.facebook.com/europeanparliament/photos/a.188069385106.246713.178362315106/10156447358035107/?type=3&amp;theater</t>
  </si>
  <si>
    <t>https://www.facebook.com/europeanparliament/videos/vb.178362315106/10156450332095107/?type=2&amp;theater</t>
  </si>
  <si>
    <t>https://www.facebook.com/europeanparliament/photos/a.188069385106.246713.178362315106/10156450569375107/?type=3&amp;theater</t>
  </si>
  <si>
    <t>https://www.facebook.com/europeanparliament/photos/a.188069385106.246713.178362315106/10156450410605107/?type=3&amp;theater</t>
  </si>
  <si>
    <t>https://www.facebook.com/europeanparliament/videos/vb.178362315106/10156450553830107/?type=2&amp;theater</t>
  </si>
  <si>
    <t>https://www.facebook.com/europeanparliament/photos/a.188069385106.246713.178362315106/10156450500455107/?type=3&amp;theater</t>
  </si>
  <si>
    <t>https://www.facebook.com/europeanparliament/photos/a.188069385106.246713.178362315106/10156450496485107/?type=3&amp;theater</t>
  </si>
  <si>
    <t>https://www.facebook.com/europeanparliament/videos/vb.178362315106/10156450302640107/?type=2&amp;theater</t>
  </si>
  <si>
    <t>https://www.facebook.com/europeanparliament/photos/a.188069385106.246713.178362315106/10156450521600107/?type=3&amp;theater</t>
  </si>
  <si>
    <t>https://www.facebook.com/europeanparliament/videos/vb.178362315106/10156459358485107/?type=2&amp;theater</t>
  </si>
  <si>
    <t>https://www.facebook.com/europeanparliament/photos/a.188069385106.246713.178362315106/10156460038220107/?type=3&amp;theater</t>
  </si>
  <si>
    <t>https://www.facebook.com/europeanparliament/photos/a.188069385106.246713.178362315106/10156462489920107/?type=3&amp;theater</t>
  </si>
  <si>
    <t>https://www.facebook.com/europeanparliament/photos/a.188069385106.246713.178362315106/10156462145040107/?type=3&amp;theater</t>
  </si>
  <si>
    <t>https://www.facebook.com/europeanparliament/photos/a.188069385106.246713.178362315106/10156465157785107/?type=3&amp;theater</t>
  </si>
  <si>
    <t>https://www.facebook.com/europeanparliament/photos/a.188069385106.246713.178362315106/10156465381845107/?type=3&amp;theater</t>
  </si>
  <si>
    <t>https://www.facebook.com/europeanparliament/photos/a.188069385106.246713.178362315106/10156465506880107/?type=3&amp;theater</t>
  </si>
  <si>
    <t>https://www.facebook.com/europeanparliament/photos/a.188069385106.246713.178362315106/10156467777970107/?type=3&amp;theater</t>
  </si>
  <si>
    <t>https://www.facebook.com/europeanparliament/photos/a.188069385106.246713.178362315106/10156467871740107/?type=3&amp;theater</t>
  </si>
  <si>
    <t>https://www.facebook.com/europeanparliament/photos/a.188069385106.246713.178362315106/10156468326325107/?type=3&amp;theater</t>
  </si>
  <si>
    <t>https://www.facebook.com/europeanparliament/photos/a.188069385106.246713.178362315106/10156468607810107/?type=3&amp;theater</t>
  </si>
  <si>
    <t>https://www.facebook.com/europeanparliament/posts/10156462090610107</t>
  </si>
  <si>
    <t>https://www.facebook.com/europeanparliament/photos/a.188069385106.246713.178362315106/10156471564105107/?type=3&amp;theater</t>
  </si>
  <si>
    <t>https://www.facebook.com/europeanparliament/videos/vb.178362315106/10156470781985107/?type=2&amp;theater</t>
  </si>
  <si>
    <t>https://www.facebook.com/europeanparliament/photos/a.188069385106.246713.178362315106/10156470877475107/?type=3&amp;theater</t>
  </si>
  <si>
    <t>https://www.facebook.com/europeanparliament/photos/a.188069385106.246713.178362315106/10156470711980107/?type=3&amp;theater</t>
  </si>
  <si>
    <t>https://www.facebook.com/europeanparliament/photos/a.188069385106.246713.178362315106/10156479621185107/?type=3&amp;theater</t>
  </si>
  <si>
    <t>https://www.facebook.com/europeanparliament/posts/10156480478525107</t>
  </si>
  <si>
    <t>https://www.facebook.com/europeanparliament/videos/vb.178362315106/10156479817400107/?type=2&amp;theater</t>
  </si>
  <si>
    <t>https://www.facebook.com/europeanparliament/videos/vb.178362315106/10156483180415107/?type=2&amp;theater</t>
  </si>
  <si>
    <t>https://www.facebook.com/europeanparliament/timeline/story?ut=43&amp;wstart=0&amp;wend=1451635199&amp;hash=7041740906730610853&amp;pagefilter=3</t>
  </si>
  <si>
    <t>https://www.facebook.com/europeanparliament/posts/10156485723035107</t>
  </si>
  <si>
    <t>https://www.facebook.com/europeanparliament/posts/10156486289415107</t>
  </si>
  <si>
    <t>https://www.facebook.com/europeanparliament/photos/a.188069385106.246713.178362315106/10156482486480107/?type=3&amp;theater</t>
  </si>
  <si>
    <t>https://www.facebook.com/europeanparliament/videos/vb.178362315106/10156486754035107/?type=2&amp;theater</t>
  </si>
  <si>
    <t>https://www.facebook.com/europeanparliament/photos/a.188069385106.246713.178362315106/10156486008515107/?type=3&amp;theater</t>
  </si>
  <si>
    <t>https://www.facebook.com/europeanparliament/timeline/story?ut=43&amp;wstart=0&amp;wend=1451635199&amp;hash=2292433431889794443&amp;pagefilter=3</t>
  </si>
  <si>
    <t>https://www.facebook.com/europeanparliament/photos/a.188069385106.246713.178362315106/10156491360830107/?type=3&amp;theater</t>
  </si>
  <si>
    <t>https://www.facebook.com/europeanparliament/photos/a.188069385106.246713.178362315106/10156491781020107/?type=3&amp;theater</t>
  </si>
  <si>
    <t>https://www.facebook.com/europeanparliament/timeline/story?ut=43&amp;wstart=0&amp;wend=1451635199&amp;hash=1151872429158952313&amp;pagefilter=3</t>
  </si>
  <si>
    <t>https://www.facebook.com/europeanparliament/videos/vb.178362315106/10156495123965107/?type=2&amp;theater</t>
  </si>
  <si>
    <t>https://www.facebook.com/europeanparliament/photos/a.188069385106.246713.178362315106/10156491724885107/?type=3&amp;theater</t>
  </si>
  <si>
    <t>https://www.facebook.com/europeanparliament/videos/vb.178362315106/10156492227070107/?type=2&amp;theater</t>
  </si>
  <si>
    <t>https://www.facebook.com/europeanparliament/photos/a.188069385106.246713.178362315106/10156501645820107/?type=3&amp;theater</t>
  </si>
  <si>
    <t>https://www.facebook.com/europeanparliament/photos/a.188069385106.246713.178362315106/10156502152780107/?type=3&amp;theater</t>
  </si>
  <si>
    <t>https://www.facebook.com/europeanparliament/photos/a.188069385106.246713.178362315106/10156504442690107/?type=3&amp;theater</t>
  </si>
  <si>
    <t>https://www.facebook.com/europeanparliament/photos/a.188069385106.246713.178362315106/10156504695640107/?type=3&amp;theater</t>
  </si>
  <si>
    <t>https://www.facebook.com/europeanparliament/videos/vb.178362315106/10156504965830107/?type=2&amp;theater</t>
  </si>
  <si>
    <t>https://www.facebook.com/europeanparliament/photos/a.188069385106.246713.178362315106/10156507273945107/?type=3&amp;theater</t>
  </si>
  <si>
    <t>https://www.facebook.com/europeanparliament/videos/vb.178362315106/10156507603565107/?type=2&amp;theater</t>
  </si>
  <si>
    <t>https://www.facebook.com/europeanparliament/photos/a.188069385106.246713.178362315106/10156507729425107/?type=3&amp;theater</t>
  </si>
  <si>
    <t>https://www.facebook.com/europeanparliament/photos/a.188069385106.246713.178362315106/10156508223650107/?type=3&amp;theater</t>
  </si>
  <si>
    <t>https://www.facebook.com/europeanparliament/videos/vb.178362315106/10156508211130107/?type=2&amp;theater</t>
  </si>
  <si>
    <t>https://www.facebook.com/europeanparliament/timeline/story?ut=43&amp;wstart=0&amp;wend=1451635199&amp;hash=-5115670027972807155&amp;pagefilter=3</t>
  </si>
  <si>
    <t>https://www.facebook.com/notes/european-parliament/parliaments-facebook-followers-interview-ensaf-haidar-wife-of-2015-sakharov-laur/10153332322317852</t>
  </si>
  <si>
    <t>https://www.facebook.com/europeanparliament/photos/a.188069385106.246713.178362315106/10156510292825107/?type=3&amp;theater</t>
  </si>
  <si>
    <t>https://www.facebook.com/europeanparliament/posts/10156513637140107</t>
  </si>
  <si>
    <t>https://www.facebook.com/europeanparliament/photos/a.188069385106.246713.178362315106/10156510451180107/?type=3&amp;theater</t>
  </si>
  <si>
    <t>https://www.facebook.com/europeanparliament/photos/a.188069385106.246713.178362315106/10156505171060107/?type=3&amp;theater</t>
  </si>
  <si>
    <t>https://www.facebook.com/europeanparliament/posts/10156525226475107</t>
  </si>
  <si>
    <t>https://www.facebook.com/europeanparliament/videos/vb.178362315106/10156510325315107/?type=2&amp;theater</t>
  </si>
  <si>
    <t>https://www.facebook.com/europeanparliament/photos/a.188069385106.246713.178362315106/10156510411265107/?type=3&amp;theater</t>
  </si>
  <si>
    <t>https://www.facebook.com/europeanparliament/posts/10156525224055107</t>
  </si>
  <si>
    <t>https://www.facebook.com/europeanparliament/photos/a.188069385106.246713.178362315106/10156488726495107/?type=3&amp;theater</t>
  </si>
  <si>
    <t>https://www.facebook.com/europeanparliament/photos/a.188069385106.246713.178362315106/10156525218270107/?type=3&amp;theater</t>
  </si>
  <si>
    <t>https://www.facebook.com/europeanparliament/photos/a.10151438051605107.835195.178362315106/10156534384120107/?type=3&amp;theater</t>
  </si>
  <si>
    <t>https://www.facebook.com/europeanparliament/photos/a.188069385106.246713.178362315106/10156513443295107/?type=3&amp;theater</t>
  </si>
  <si>
    <t>https://www.facebook.com/notes/european-parliament/xmas-challenge-with-martin-schulz/10153333602452852</t>
  </si>
  <si>
    <t>https://www.facebook.com/europeanparliament/photos/a.188069385106.246713.178362315106/10156489081115107/?type=3&amp;theater</t>
  </si>
  <si>
    <t>https://www.facebook.com/europeanparliament/videos/vb.178362315106/10156543593600107/?type=2&amp;theater</t>
  </si>
  <si>
    <t>https://www.facebook.com/europeanparliament/photos/a.188069385106.246713.178362315106/10156504473855107/?type=3&amp;theater</t>
  </si>
  <si>
    <t>https://www.facebook.com/europeanparliament/videos/vb.178362315106/10156513390835107/?type=2&amp;theater</t>
  </si>
  <si>
    <t>https://www.facebook.com/europeanparliament/videos/vb.178362315106/10156510214310107/?type=2&amp;theater</t>
  </si>
  <si>
    <t>https://www.facebook.com/europeanparliament/photos/a.188069385106.246713.178362315106/10156553459140107/?type=3&amp;theater</t>
  </si>
  <si>
    <t>https://www.facebook.com/europeanparliament/photos/a.188069385106.246713.178362315106/10156510288750107/?type=3&amp;theater</t>
  </si>
  <si>
    <t>https://www.facebook.com/europeanparliament/posts/10156513644795107</t>
  </si>
  <si>
    <t>https://www.facebook.com/europeanparliament/timeline/story?ut=43&amp;wstart=0&amp;wend=1454313599&amp;hash=-163644001458643919&amp;pagefilter=3</t>
  </si>
  <si>
    <t>https://www.facebook.com/europeanparliament/videos/vb.178362315106/10156514160580107/?type=2&amp;theater</t>
  </si>
  <si>
    <t>https://www.facebook.com/europeanparliament/photos/a.188069385106.246713.178362315106/10156510419960107/?type=3&amp;theater</t>
  </si>
  <si>
    <t>https://www.facebook.com/europeanparliament/photos/a.188069385106.246713.178362315106/10156510328930107/?type=3&amp;theater</t>
  </si>
  <si>
    <t>https://www.facebook.com/europeanparliament/photos/a.188069385106.246713.178362315106/10156492166805107/?type=3&amp;theater</t>
  </si>
  <si>
    <t>https://www.facebook.com/europeanparliament/photos/a.188069385106.246713.178362315106/10156513455030107/?type=3&amp;theater</t>
  </si>
  <si>
    <t>https://www.facebook.com/europeanparliament/photos/a.188069385106.246713.178362315106/10156525230190107/?type=3&amp;theater</t>
  </si>
  <si>
    <t>https://www.facebook.com/europeanparliament/photos/a.10151438051605107.835195.178362315106/10156513432820107/?type=3&amp;theater</t>
  </si>
  <si>
    <t>https://www.facebook.com/europeanparliament/photos/a.188069385106.246713.178362315106/10156576754345107/?type=3&amp;theater</t>
  </si>
  <si>
    <t>https://www.facebook.com/europeanparliament/posts/10156579604350107</t>
  </si>
  <si>
    <t>https://www.facebook.com/europeanparliament/photos/a.188069385106.246713.178362315106/10156576456310107/?type=3&amp;theater</t>
  </si>
  <si>
    <t>https://www.facebook.com/europeanparliament/photos/a.188069385106.246713.178362315106/10156582552590107/?type=3&amp;theater</t>
  </si>
  <si>
    <t>https://www.facebook.com/europeanparliament/photos/a.188069385106.246713.178362315106/10156583100315107/?type=3&amp;theater</t>
  </si>
  <si>
    <t>https://www.facebook.com/europeanparliament/photos/a.10150275789685107.540980.178362315106/10156586385760107/?type=3&amp;theater</t>
  </si>
  <si>
    <t>https://www.facebook.com/europeanparliament/photos/a.188069385106.246713.178362315106/10156586321625107/?type=3&amp;theater</t>
  </si>
  <si>
    <t>https://www.facebook.com/europeanparliament/photos/a.188069385106.246713.178362315106/10156582676620107/?type=3&amp;theater</t>
  </si>
  <si>
    <t>https://www.facebook.com/europeanparliament/videos/vb.178362315106/10156583246105107/?type=2&amp;theater</t>
  </si>
  <si>
    <t>https://www.facebook.com/europeanparliament/posts/10156588689395107</t>
  </si>
  <si>
    <t>https://www.facebook.com/europeanparliament/videos/vb.178362315106/10156586492140107/?type=2&amp;theater</t>
  </si>
  <si>
    <t>https://www.facebook.com/europeanparliament/posts/10156598230755107</t>
  </si>
  <si>
    <t>https://www.facebook.com/europeanparliament/photos/a.188069385106.246713.178362315106/10156598838035107/?type=3&amp;theater</t>
  </si>
  <si>
    <t>https://www.facebook.com/europeanparliament/posts/10156601567860107</t>
  </si>
  <si>
    <t>https://www.facebook.com/europeanparliament/posts/10156602421475107</t>
  </si>
  <si>
    <t>https://www.facebook.com/europeanparliament/photos/a.188069385106.246713.178362315106/10156605959030107/?type=3&amp;theater</t>
  </si>
  <si>
    <t>https://www.facebook.com/europeanparliament/photos/a.188069385106.246713.178362315106/10156610459665107/?type=3&amp;theater</t>
  </si>
  <si>
    <t>https://www.facebook.com/europeanparliament/photos/a.188069385106.246713.178362315106/10156610546385107/?type=3&amp;theater</t>
  </si>
  <si>
    <t>https://www.facebook.com/europeanparliament/posts/10156613653230107</t>
  </si>
  <si>
    <t>https://www.facebook.com/media/set/?set=a.10156558783890107.1073741952.178362315106&amp;type=3</t>
  </si>
  <si>
    <t>https://www.facebook.com/europeanparliament/videos/vb.178362315106/10156613604445107/?type=2&amp;theater</t>
  </si>
  <si>
    <t>https://www.facebook.com/europeanparliament/photos/a.188069385106.246713.178362315106/10156612902930107/?type=3&amp;theater</t>
  </si>
  <si>
    <t>https://www.facebook.com/europeanparliament/photos/a.188069385106.246713.178362315106/10156613607260107/?type=3&amp;theater</t>
  </si>
  <si>
    <t>https://www.facebook.com/europeanparliament/photos/a.188069385106.246713.178362315106/10156623944945107/?type=3&amp;theater</t>
  </si>
  <si>
    <t>https://www.facebook.com/europeanparliament/photos/a.188069385106.246713.178362315106/10156623901610107/?type=3&amp;theater</t>
  </si>
  <si>
    <t>https://www.facebook.com/europeanparliament/photos/a.188069385106.246713.178362315106/10156626954845107/?type=3&amp;theater</t>
  </si>
  <si>
    <t>https://www.facebook.com/europeanparliament/photos/a.188069385106.246713.178362315106/10156626811585107/?type=3&amp;theater</t>
  </si>
  <si>
    <t>https://www.facebook.com/europeanparliament/videos/vb.178362315106/10156628296515107/?type=2&amp;theater</t>
  </si>
  <si>
    <t>https://www.facebook.com/europeanparliament/photos/a.188069385106.246713.178362315106/10156630219715107/?type=3&amp;theater</t>
  </si>
  <si>
    <t>https://www.facebook.com/europeanparliament/photos/a.188069385106.246713.178362315106/10156630653125107/?type=3&amp;theater</t>
  </si>
  <si>
    <t>https://www.facebook.com/europeanparliament/posts/10156631302345107</t>
  </si>
  <si>
    <t>https://www.facebook.com/europeanparliament/photos/a.188069385106.246713.178362315106/10156633395120107/?type=3&amp;theater</t>
  </si>
  <si>
    <t>https://www.facebook.com/europeanparliament/videos/vb.178362315106/10156633448240107/?type=2&amp;theater</t>
  </si>
  <si>
    <t>https://www.facebook.com/europeanparliament/videos/vb.178362315106/10156631258315107/?type=2&amp;theater</t>
  </si>
  <si>
    <t>https://www.facebook.com/europeanparliament/posts/10156636424750107</t>
  </si>
  <si>
    <t>https://www.facebook.com/europeanparliament/posts/10156636438620107</t>
  </si>
  <si>
    <t>https://www.facebook.com/europeanparliament/videos/vb.178362315106/10156636609080107/?type=2&amp;theater</t>
  </si>
  <si>
    <t>https://www.facebook.com/europeanparliament/posts/10156636658695107</t>
  </si>
  <si>
    <t>https://www.facebook.com/europeanparliament/photos/a.188069385106.246713.178362315106/10156636605170107/?type=3&amp;theater</t>
  </si>
  <si>
    <t>https://www.facebook.com/europeanparliament/photos/a.188069385106.246713.178362315106/10156636841650107/?type=3&amp;theater</t>
  </si>
  <si>
    <t>https://www.facebook.com/europeanparliament/photos/a.188069385106.246713.178362315106/10156636705025107/?type=3&amp;theater</t>
  </si>
  <si>
    <t>https://www.facebook.com/europeanparliament/photos/a.188069385106.246713.178362315106/10156646687280107/?type=3&amp;theater</t>
  </si>
  <si>
    <t>https://www.facebook.com/europeanparliament/videos/vb.178362315106/10156648951695107/?type=2&amp;theater</t>
  </si>
  <si>
    <t>https://www.facebook.com/europeanparliament/photos/a.188069385106.246713.178362315106/10156649679115107/?type=3&amp;theater</t>
  </si>
  <si>
    <t>https://www.facebook.com/europeanparliament/posts/10156649920535107</t>
  </si>
  <si>
    <t>https://www.facebook.com/europeanparliament/posts/10156653374725107</t>
  </si>
  <si>
    <t>https://www.facebook.com/europeanparliament/posts/10156655960855107</t>
  </si>
  <si>
    <t>https://www.facebook.com/europeanparliament/videos/vb.178362315106/10156656515515107/?type=2&amp;theater</t>
  </si>
  <si>
    <t>https://www.facebook.com/europeanparliament/posts/10156659322395107</t>
  </si>
  <si>
    <t>https://www.facebook.com/europeanparliament/posts/10156659230220107</t>
  </si>
  <si>
    <t>https://www.facebook.com/notes/european-parliament/parliament-and-languages/10153416765637852</t>
  </si>
  <si>
    <t>https://www.facebook.com/europeanparliament/videos/vb.178362315106/10156660226830107/?type=2&amp;theater</t>
  </si>
  <si>
    <t>https://www.facebook.com/europeanparliament/videos/vb.178362315106/10156656373550107/?type=2&amp;theater</t>
  </si>
  <si>
    <t>https://www.facebook.com/europeanparliament/photos/a.188069385106.246713.178362315106/10156660219135107/?type=3&amp;theater</t>
  </si>
  <si>
    <t>https://www.facebook.com/europeanparliament/photos/a.188069385106.246713.178362315106/10156659515025107/?type=3&amp;theater</t>
  </si>
  <si>
    <t>https://www.facebook.com/europeanparliament/videos/vb.178362315106/10156659330080107/?type=2&amp;theater</t>
  </si>
  <si>
    <t>https://www.facebook.com/europeanparliament/photos/a.188069385106.246713.178362315106/10156669390315107/?type=3&amp;theater</t>
  </si>
  <si>
    <t>https://www.facebook.com/europeanparliament/photos/a.188069385106.246713.178362315106/10156670120220107/?type=3&amp;theater</t>
  </si>
  <si>
    <t>https://www.facebook.com/europeanparliament/posts/10156670416200107</t>
  </si>
  <si>
    <t>https://www.facebook.com/europeanparliament/photos/a.188069385106.246713.178362315106/10156673441255107/?type=3&amp;theater</t>
  </si>
  <si>
    <t>https://www.facebook.com/europeanparliament/photos/a.188069385106.246713.178362315106/10156673577860107/?type=3&amp;theater</t>
  </si>
  <si>
    <t>https://www.facebook.com/europeanparliament/posts/10156673108875107</t>
  </si>
  <si>
    <t>https://www.facebook.com/europeanparliament/posts/10156676049475107</t>
  </si>
  <si>
    <t>https://www.facebook.com/europeanparliament/photos/a.188069385106.246713.178362315106/10156673456575107/?type=3&amp;theater</t>
  </si>
  <si>
    <t>https://www.facebook.com/europeanparliament/posts/10156676068675107</t>
  </si>
  <si>
    <t>https://www.facebook.com/europeanparliament/videos/vb.178362315106/10156680238225107/?type=2&amp;theater</t>
  </si>
  <si>
    <t>https://www.facebook.com/europeanparliament/videos/vb.178362315106/10156679377415107/?type=2&amp;theater</t>
  </si>
  <si>
    <t>https://www.facebook.com/europeanparliament/videos/vb.178362315106/10156682519370107/?type=2&amp;theater</t>
  </si>
  <si>
    <t>https://www.facebook.com/europeanparliament/photos/a.188069385106.246713.178362315106/10156682514315107/?type=3&amp;theater</t>
  </si>
  <si>
    <t>https://www.facebook.com/europeanparliament/videos/vb.178362315106/10156682639620107/?type=2&amp;theater</t>
  </si>
  <si>
    <t>https://www.facebook.com/europeanparliament/photos/a.188069385106.246713.178362315106/10156682767230107/?type=3&amp;theater</t>
  </si>
  <si>
    <t>https://www.facebook.com/europeanparliament/photos/a.188069385106.246713.178362315106/10156693621245107/?type=3&amp;theater</t>
  </si>
  <si>
    <t>https://www.facebook.com/europeanparliament/photos/a.188069385106.246713.178362315106/10156693574175107/?type=3&amp;theater</t>
  </si>
  <si>
    <t>https://www.facebook.com/europeanparliament/videos/vb.178362315106/10156696302350107/?type=2&amp;theater</t>
  </si>
  <si>
    <t>https://www.facebook.com/europeanparliament/posts/10156696759985107</t>
  </si>
  <si>
    <t>https://www.facebook.com/europeanparliament/videos/vb.178362315106/10156699861530107/?type=2&amp;theater</t>
  </si>
  <si>
    <t>https://www.facebook.com/europeanparliament/photos/a.188069385106.246713.178362315106/10156700309030107/?type=3&amp;theater</t>
  </si>
  <si>
    <t>https://www.facebook.com/europeanparliament/photos/a.188069385106.246713.178362315106/10156703075500107/?type=3&amp;theater</t>
  </si>
  <si>
    <t>https://www.facebook.com/europeanparliament/videos/vb.178362315106/10156706286640107/?type=2&amp;theater</t>
  </si>
  <si>
    <t>https://www.facebook.com/europeanparliament/photos/a.188069385106.246713.178362315106/10156706313455107/?type=3&amp;theater</t>
  </si>
  <si>
    <t>https://www.facebook.com/europeanparliament/photos/a.188069385106.246713.178362315106/10156706361820107/?type=3&amp;theater</t>
  </si>
  <si>
    <t>https://www.facebook.com/europeanparliament/photos/a.188069385106.246713.178362315106/10156706205360107/?type=3&amp;theater</t>
  </si>
  <si>
    <t>https://www.facebook.com/europeanparliament/posts/10156712883945107</t>
  </si>
  <si>
    <t>https://www.facebook.com/europeanparliament/photos/a.188069385106.246713.178362315106/10156716659095107/?type=3&amp;theater</t>
  </si>
  <si>
    <t>https://www.facebook.com/notes/european-parliament/syrian-refugees-in-turkey-members-assess-the-situation-on-the-ground/10153447899262852</t>
  </si>
  <si>
    <t>https://www.facebook.com/europeanparliament/posts/10156720437550107</t>
  </si>
  <si>
    <t>https://www.facebook.com/europeanparliament/photos/a.188069385106.246713.178362315106/10156720991720107/?type=3&amp;theater</t>
  </si>
  <si>
    <t>https://www.facebook.com/europeanparliament/videos/vb.178362315106/10156721049945107/?type=2&amp;theater</t>
  </si>
  <si>
    <t>https://www.facebook.com/europeanparliament/videos/vb.178362315106/10156724394470107/?type=2&amp;theater</t>
  </si>
  <si>
    <t>https://www.facebook.com/europeanparliament/posts/10156724701110107</t>
  </si>
  <si>
    <t>https://www.facebook.com/europeanparliament/videos/vb.178362315106/10156727484740107/?type=2&amp;theater</t>
  </si>
  <si>
    <t>https://www.facebook.com/europeanparliament/photos/a.188069385106.246713.178362315106/10156728350500107/?type=3&amp;theater</t>
  </si>
  <si>
    <t>https://www.facebook.com/europeanparliament/photos/a.188069385106.246713.178362315106/10156731098760107/?type=3&amp;theater</t>
  </si>
  <si>
    <t>https://www.facebook.com/europeanparliament/photos/a.188069385106.246713.178362315106/10156721120050107/?type=3&amp;theater</t>
  </si>
  <si>
    <t>https://www.facebook.com/europeanparliament/photos/a.188069385106.246713.178362315106/10156728334240107/?type=3&amp;theater</t>
  </si>
  <si>
    <t>https://www.facebook.com/europeanparliament/posts/10156727972815107</t>
  </si>
  <si>
    <t>https://www.facebook.com/europeanparliament/photos/a.188069385106.246713.178362315106/10156731474420107/?type=3&amp;theater</t>
  </si>
  <si>
    <t>https://www.facebook.com/europeanparliament/photos/a.188069385106.246713.178362315106/10156743642150107/?type=3&amp;theater</t>
  </si>
  <si>
    <t>https://www.facebook.com/europeanparliament/photos/a.188069385106.246713.178362315106/10156746523810107/?type=3&amp;theater</t>
  </si>
  <si>
    <t>https://www.facebook.com/europeanparliament/videos/vb.178362315106/10156746696880107/?type=2&amp;theater</t>
  </si>
  <si>
    <t>https://www.facebook.com/europeanparliament/photos/a.188069385106.246713.178362315106/10156746731040107/?type=3&amp;theater</t>
  </si>
  <si>
    <t>https://www.facebook.com/europeanparliament/videos/vb.178362315106/10156750153030107/?type=2&amp;theater</t>
  </si>
  <si>
    <t>https://www.facebook.com/europeanparliament/photos/a.188069385106.246713.178362315106/10156750324725107/?type=3&amp;theater</t>
  </si>
  <si>
    <t>https://www.facebook.com/europeanparliament/videos/vb.178362315106/10156751181215107/?type=2&amp;theater</t>
  </si>
  <si>
    <t>https://www.facebook.com/europeanparliament/photos/a.188069385106.246713.178362315106/10156754191400107/?type=3&amp;theater</t>
  </si>
  <si>
    <t>https://www.facebook.com/europeanparliament/posts/10156754469680107</t>
  </si>
  <si>
    <t>https://www.facebook.com/europeanparliament/photos/a.188069385106.246713.178362315106/10156755142785107/?type=3&amp;theater</t>
  </si>
  <si>
    <t>https://www.facebook.com/europeanparliament/photos/a.188069385106.246713.178362315106/10156757878990107/?type=3&amp;theater</t>
  </si>
  <si>
    <t>https://www.facebook.com/europeanparliament/videos/vb.178362315106/10156757964490107/?type=2&amp;theater</t>
  </si>
  <si>
    <t>https://www.facebook.com/europeanparliament/photos/a.188069385106.246713.178362315106/10156751258375107/?type=3&amp;theater</t>
  </si>
  <si>
    <t>https://www.facebook.com/europeanparliament/posts/10156751214505107</t>
  </si>
  <si>
    <t>https://www.facebook.com/europeanparliament/videos/vb.178362315106/10156743461490107/?type=2&amp;theater</t>
  </si>
  <si>
    <t>https://www.facebook.com/europeanparliament/posts/10156758068455107</t>
  </si>
  <si>
    <t>https://www.facebook.com/europeanparliament/photos/a.188069385106.246713.178362315106/10156768840135107/?type=3&amp;theater</t>
  </si>
  <si>
    <t>https://www.facebook.com/europeanparliament/photos/a.188069385106.246713.178362315106/10156367557485107/?type=3&amp;theater</t>
  </si>
  <si>
    <t>https://www.facebook.com/europeanparliament/photos/a.188069385106.246713.178362315106/10156492239260107/?type=3&amp;theater</t>
  </si>
  <si>
    <t>https://www.facebook.com/europeanparliament/photos/a.188069385106.246713.178362315106/10156494868995107/?type=3&amp;theater</t>
  </si>
  <si>
    <t xml:space="preserve"> </t>
  </si>
  <si>
    <t>https://www.facebook.com/europeanparliament/timeline/story?ut=43&amp;wstart=0&amp;wend=1448956799&amp;hash=-5607618845466801778&amp;pagefilter=2</t>
  </si>
  <si>
    <t>https://www.facebook.com/europeanparliament/timeline/story?ut=43&amp;wstart=0&amp;wend=1448956799&amp;hash=-5028582292242841982&amp;pagefilter=2</t>
  </si>
  <si>
    <t>https://www.facebook.com/europeanparliament/timeline/story?ut=43&amp;wstart=0&amp;wend=1451635199&amp;hash=-1986643461399671215&amp;pagefilter=2</t>
  </si>
  <si>
    <t>Tema</t>
  </si>
  <si>
    <t>Refugiados</t>
  </si>
  <si>
    <t>Links</t>
  </si>
  <si>
    <t>Atividades PE</t>
  </si>
  <si>
    <t>Ambiente</t>
  </si>
  <si>
    <t>Passatempos</t>
  </si>
  <si>
    <t>Redes Sociais</t>
  </si>
  <si>
    <t>Enquadramento</t>
  </si>
  <si>
    <t>Tipo</t>
  </si>
  <si>
    <t>Dimensão</t>
  </si>
  <si>
    <t>Formato</t>
  </si>
  <si>
    <t>Abordagem visual</t>
  </si>
  <si>
    <t>Hipertexto</t>
  </si>
  <si>
    <t>Apelo</t>
  </si>
  <si>
    <t>Comentários</t>
  </si>
  <si>
    <t>Partilhas</t>
  </si>
  <si>
    <t>Video</t>
  </si>
  <si>
    <t>Sim</t>
  </si>
  <si>
    <t>Imagem</t>
  </si>
  <si>
    <t>Não</t>
  </si>
  <si>
    <t>Transparência</t>
  </si>
  <si>
    <t>Pessoas</t>
  </si>
  <si>
    <t>Edifícios</t>
  </si>
  <si>
    <t>Informar</t>
  </si>
  <si>
    <t>Dados</t>
  </si>
  <si>
    <t>Animação</t>
  </si>
  <si>
    <t>Animais</t>
  </si>
  <si>
    <t xml:space="preserve">UE  </t>
  </si>
  <si>
    <t>Gráfico</t>
  </si>
  <si>
    <t>Financiamento Europeu</t>
  </si>
  <si>
    <t>Proximidade</t>
  </si>
  <si>
    <t>Adesão Turquia</t>
  </si>
  <si>
    <t>Informações Úteis</t>
  </si>
  <si>
    <t>Global</t>
  </si>
  <si>
    <t>Terrorismo</t>
  </si>
  <si>
    <t xml:space="preserve">Paris/UE  </t>
  </si>
  <si>
    <t xml:space="preserve">Turquia/UE  </t>
  </si>
  <si>
    <t>Texto</t>
  </si>
  <si>
    <t>Bandeiras</t>
  </si>
  <si>
    <t>Visibilidade</t>
  </si>
  <si>
    <t>Discussão Pública</t>
  </si>
  <si>
    <t>Brexit</t>
  </si>
  <si>
    <t>Economia</t>
  </si>
  <si>
    <t>Vídeo</t>
  </si>
  <si>
    <t>PE</t>
  </si>
  <si>
    <t>Energia</t>
  </si>
  <si>
    <t>Rússia/EU</t>
  </si>
  <si>
    <t>Infográfico</t>
  </si>
  <si>
    <t>Língua</t>
  </si>
  <si>
    <t>Interagir</t>
  </si>
  <si>
    <t>Inglês</t>
  </si>
  <si>
    <t>Romeno</t>
  </si>
  <si>
    <t>Roménia/EU</t>
  </si>
  <si>
    <t>Frase</t>
  </si>
  <si>
    <t>Objetos</t>
  </si>
  <si>
    <t>SIm</t>
  </si>
  <si>
    <t>Multilinguismo</t>
  </si>
  <si>
    <t>Multi</t>
  </si>
  <si>
    <t>Abordagem</t>
  </si>
  <si>
    <t>Segurança</t>
  </si>
  <si>
    <t>Discussão pública</t>
  </si>
  <si>
    <t>TTIP</t>
  </si>
  <si>
    <t>Demarcação</t>
  </si>
  <si>
    <t>Bandeira</t>
  </si>
  <si>
    <t>Holandês</t>
  </si>
  <si>
    <t>Presidência Holandesa</t>
  </si>
  <si>
    <t>Holanda/EU</t>
  </si>
  <si>
    <t xml:space="preserve">UE   </t>
  </si>
  <si>
    <t>Segurança Online</t>
  </si>
  <si>
    <t>Grécia/EU</t>
  </si>
  <si>
    <t>Planeta</t>
  </si>
  <si>
    <t>GIF</t>
  </si>
  <si>
    <t>Infográficos</t>
  </si>
  <si>
    <t>Azerbeijão/EU</t>
  </si>
  <si>
    <t>Notícia</t>
  </si>
  <si>
    <t>DH</t>
  </si>
  <si>
    <t>Global/EU</t>
  </si>
  <si>
    <t>Frases</t>
  </si>
  <si>
    <t>Presidente PE</t>
  </si>
  <si>
    <t>-</t>
  </si>
  <si>
    <t>Nota</t>
  </si>
  <si>
    <t>Cultura</t>
  </si>
  <si>
    <t>Ucrânia/EU</t>
  </si>
  <si>
    <t>Polónia/EU</t>
  </si>
  <si>
    <t>Juventude</t>
  </si>
  <si>
    <t xml:space="preserve">Azerbeijão/UE  </t>
  </si>
  <si>
    <t>Informações úteis</t>
  </si>
  <si>
    <t>TiSA</t>
  </si>
  <si>
    <t xml:space="preserve">Polónia/UE   </t>
  </si>
  <si>
    <t>Polaco</t>
  </si>
  <si>
    <t>França/EU</t>
  </si>
  <si>
    <t>Saúde</t>
  </si>
  <si>
    <t>Partilhar</t>
  </si>
  <si>
    <t xml:space="preserve">EUA/UE  </t>
  </si>
  <si>
    <t xml:space="preserve"> UE    </t>
  </si>
  <si>
    <t xml:space="preserve">ReinoUnido/UE  </t>
  </si>
  <si>
    <t>Ciência</t>
  </si>
  <si>
    <t>Irlanda/EU</t>
  </si>
  <si>
    <t>Irlandês</t>
  </si>
  <si>
    <t>Irão/EU</t>
  </si>
  <si>
    <t xml:space="preserve">EU </t>
  </si>
  <si>
    <t xml:space="preserve">NATO/UE  </t>
  </si>
  <si>
    <t xml:space="preserve">Túnisia/UE  </t>
  </si>
  <si>
    <t xml:space="preserve">Global/UE  </t>
  </si>
  <si>
    <t xml:space="preserve">Ucrânia/UE   </t>
  </si>
  <si>
    <t>https://www.facebook.com/europeanparliament/photos/a.188069385106.246713.178362315106/10156758069375107/?type=3&amp;theater</t>
  </si>
  <si>
    <t>Raif Badawi</t>
  </si>
  <si>
    <t>Sessão Perguntas e Respostas</t>
  </si>
  <si>
    <t>Francês</t>
  </si>
  <si>
    <t>Posição</t>
  </si>
  <si>
    <t>Alemanha/EU</t>
  </si>
  <si>
    <t>Multiculturalismo</t>
  </si>
  <si>
    <t>D&amp;C</t>
  </si>
  <si>
    <t>Cidadão Comum</t>
  </si>
  <si>
    <t>Comentário</t>
  </si>
  <si>
    <t>C</t>
  </si>
  <si>
    <t>Inglês/Francês</t>
  </si>
  <si>
    <t>Voto</t>
  </si>
  <si>
    <t>Ver +</t>
  </si>
  <si>
    <t>C/P/Ver+</t>
  </si>
  <si>
    <t>Snapchat</t>
  </si>
  <si>
    <t>P/Ver +</t>
  </si>
  <si>
    <t>C/Ver +</t>
  </si>
  <si>
    <t>Atores Institucionais</t>
  </si>
  <si>
    <t>P</t>
  </si>
  <si>
    <t>LS/Ver +</t>
  </si>
  <si>
    <t>LS</t>
  </si>
  <si>
    <t>Efemérides</t>
  </si>
  <si>
    <t>Instagram</t>
  </si>
  <si>
    <t>Efeméride</t>
  </si>
  <si>
    <t>Relações extraUE</t>
  </si>
  <si>
    <t>Relações EM</t>
  </si>
  <si>
    <t>Direitos Humanos</t>
  </si>
  <si>
    <t>Envolver</t>
  </si>
  <si>
    <t>Declarar</t>
  </si>
  <si>
    <t>Relações ExtraUE</t>
  </si>
  <si>
    <t>Somatório</t>
  </si>
  <si>
    <t>Média</t>
  </si>
  <si>
    <t>Outros</t>
  </si>
  <si>
    <t>JANEIRO 16</t>
  </si>
  <si>
    <t>DEZEMBRO 15</t>
  </si>
  <si>
    <t>NOVEMBRO 15</t>
  </si>
  <si>
    <t>FEVEREIRO 16</t>
  </si>
  <si>
    <t>Comparação de PARTICIPAÇÕES por TEMA</t>
  </si>
  <si>
    <t>TOTALIDADE DA AMOSTRA (4 MESES)</t>
  </si>
  <si>
    <t>Comparação de PARTICIPAÇÕES por DIMENSÃO</t>
  </si>
  <si>
    <t>Comparação de PARTICIPAÇÕES por TIPO</t>
  </si>
  <si>
    <t>Novembro</t>
  </si>
  <si>
    <t>Dezembro</t>
  </si>
  <si>
    <t>Janeiro</t>
  </si>
  <si>
    <t>Fevereiro</t>
  </si>
  <si>
    <t>Total</t>
  </si>
  <si>
    <t>%</t>
  </si>
  <si>
    <t>Alemanha/UE</t>
  </si>
  <si>
    <t>Azerbaijão/UE</t>
  </si>
  <si>
    <t>EUA/UE</t>
  </si>
  <si>
    <t>França/UE</t>
  </si>
  <si>
    <t>Global/UE</t>
  </si>
  <si>
    <t>Grécia/UE</t>
  </si>
  <si>
    <t>Holanda/UE</t>
  </si>
  <si>
    <t>Irão/UE</t>
  </si>
  <si>
    <t>Irlanda/UE</t>
  </si>
  <si>
    <t>NATO/EU</t>
  </si>
  <si>
    <t>Paris/UE</t>
  </si>
  <si>
    <t>Polónia/UE</t>
  </si>
  <si>
    <t>Reino Unido/UE</t>
  </si>
  <si>
    <t>Roménia/UE</t>
  </si>
  <si>
    <t>Rússia/UE</t>
  </si>
  <si>
    <t>Tunísia/UE</t>
  </si>
  <si>
    <t>Turquia/UE</t>
  </si>
  <si>
    <t>UE</t>
  </si>
  <si>
    <t>Álbum</t>
  </si>
  <si>
    <t xml:space="preserve">Imagem </t>
  </si>
  <si>
    <t>Sessão de perguntas e respostas</t>
  </si>
  <si>
    <t>PUBLICAÇÕES por TEMA</t>
  </si>
  <si>
    <t>Percentagem</t>
  </si>
  <si>
    <t>PUBLICAÇÕES por ENQUADRAMENTO</t>
  </si>
  <si>
    <t>Nº de publicações por ENQUADRAMENTO em cada mês</t>
  </si>
  <si>
    <t>Nº de publicações por TEMA em cada mês</t>
  </si>
  <si>
    <t>PUBLICAÇÕES por FORMATO</t>
  </si>
  <si>
    <t>Nº de publicações por FORMATO em cada mês</t>
  </si>
  <si>
    <t>PARTICIPAÇÕES por TEMA</t>
  </si>
  <si>
    <t>Nº de publicações</t>
  </si>
  <si>
    <t>Somatórios</t>
  </si>
  <si>
    <t>Cidades e Paisagens</t>
  </si>
  <si>
    <t>Promover Envolvimento</t>
  </si>
  <si>
    <t>Promover Interação</t>
  </si>
  <si>
    <t>Promover Partilha</t>
  </si>
  <si>
    <t>Reino Unido/EU</t>
  </si>
  <si>
    <t>Sem Apelo</t>
  </si>
  <si>
    <t>G/Ver +</t>
  </si>
  <si>
    <t>Fomentar Envolvimento</t>
  </si>
  <si>
    <t>Fomentar Interação</t>
  </si>
  <si>
    <t>Fomentar Partilha</t>
  </si>
  <si>
    <t>Plataforma</t>
  </si>
  <si>
    <t>Descrição Breve</t>
  </si>
  <si>
    <t>Publicações</t>
  </si>
  <si>
    <t>Seguidores</t>
  </si>
  <si>
    <t>Reddit</t>
  </si>
  <si>
    <t>Pinterest</t>
  </si>
  <si>
    <t>Youtube</t>
  </si>
  <si>
    <t>LinkedIn</t>
  </si>
  <si>
    <t>Flickr</t>
  </si>
  <si>
    <t>Twitter</t>
  </si>
  <si>
    <t>Facebook</t>
  </si>
  <si>
    <t>"Pinboard" online para organizar e partilhar conteúdos</t>
  </si>
  <si>
    <t>Partilha de fotografias e pequenos vídeos</t>
  </si>
  <si>
    <t>Partilha de vídeos</t>
  </si>
  <si>
    <t>30754903 visualizações dos seus vídeos</t>
  </si>
  <si>
    <t>Tem um grupo privado com 26497 participantes</t>
  </si>
  <si>
    <t>Repositório de fotografias e vídeos</t>
  </si>
  <si>
    <t>Microbloging</t>
  </si>
  <si>
    <t>Criação de perfis e partilha de conteúdos</t>
  </si>
  <si>
    <t>Informação</t>
  </si>
  <si>
    <t>PARTICIPAÇÕES por DIMENSÃO DE COMUNICAÇÃO INSTITUCIONAL</t>
  </si>
  <si>
    <t>Cidades</t>
  </si>
  <si>
    <t>Album</t>
  </si>
  <si>
    <t>Cidades/Paisagens</t>
  </si>
  <si>
    <t>Cidadãos Comuns</t>
  </si>
  <si>
    <t>Paisagens</t>
  </si>
  <si>
    <t>Gostos</t>
  </si>
  <si>
    <t>Dimensão de Comunicação Institucional</t>
  </si>
  <si>
    <t>Particiações por TIPO DE PUBLICAÇÃO</t>
  </si>
  <si>
    <t>PARTICIPAÇÕES por FORMATO</t>
  </si>
  <si>
    <t>PUBLICAÇÕES por DIMENSÃO DE COMUNICAÇÃO INSTITUCIONAL</t>
  </si>
  <si>
    <t>Faits-Divers</t>
  </si>
  <si>
    <t>PUBLICAÇÕES por TIPO DE PUBLICAÇÃO</t>
  </si>
  <si>
    <t>A Seguir</t>
  </si>
  <si>
    <t>Outras Obs.</t>
  </si>
  <si>
    <t>Rankin de links partilhados pelos utilizadores</t>
  </si>
  <si>
    <t>64 albúns 3000 pins</t>
  </si>
  <si>
    <r>
      <t>Rede profissional de</t>
    </r>
    <r>
      <rPr>
        <i/>
        <sz val="11"/>
        <rFont val="Calibri"/>
        <family val="2"/>
        <scheme val="minor"/>
      </rPr>
      <t xml:space="preserve"> networking</t>
    </r>
  </si>
  <si>
    <t>RECOLHA DE DADOS - NOVEMBRO 2015</t>
  </si>
  <si>
    <t>RECOLHA DE DADOS - DEZEMBRO 2015</t>
  </si>
  <si>
    <t>RECOLHA DE DADOS - JANEIRO 2016</t>
  </si>
  <si>
    <t>RECOLHA DE DADOS - FEVEREIRO 2016</t>
  </si>
  <si>
    <t xml:space="preserve">Recolha de dados </t>
  </si>
  <si>
    <t>Estratégia</t>
  </si>
  <si>
    <t>Interação</t>
  </si>
  <si>
    <t>TEMA</t>
  </si>
  <si>
    <t>ENQUADRAMENTO</t>
  </si>
  <si>
    <t>DIMENSÃO DE COMUNICAÇÃO INSTITUCIONAL</t>
  </si>
  <si>
    <t>TIPO</t>
  </si>
  <si>
    <t>FORMATO</t>
  </si>
  <si>
    <t>ÍNDICE</t>
  </si>
  <si>
    <t>ESTRATÉGIA - TEMA</t>
  </si>
  <si>
    <t>ESTRATÉGIA - ENQUADRAMENTO</t>
  </si>
  <si>
    <t>ESTRATÉGIA - DIMENSÃO DE COMUNICAÇÃO INSTITUCIONAL</t>
  </si>
  <si>
    <t>ESTRATÉGIA - TIPO</t>
  </si>
  <si>
    <t>ESTRATÉGIA - FORMATO</t>
  </si>
  <si>
    <t>INTERAÇÃO - TEMA</t>
  </si>
  <si>
    <t>INTERAÇÃO - DIMENSÃO DE COMUNICAÇÃO INSTITUCIONAL</t>
  </si>
  <si>
    <t>INTERAÇÃO - TIPO</t>
  </si>
  <si>
    <t>INTERAÇÃO - FORMATO</t>
  </si>
  <si>
    <t>Presença online PE nas Redes Sociais</t>
  </si>
  <si>
    <t>PRESENÇA ONLINE DO PE NAS REDES SOCIAIS</t>
  </si>
  <si>
    <r>
      <rPr>
        <b/>
        <sz val="9"/>
        <color theme="1"/>
        <rFont val="Calibri"/>
        <family val="2"/>
        <scheme val="minor"/>
      </rPr>
      <t>NOTA</t>
    </r>
    <r>
      <rPr>
        <sz val="9"/>
        <color theme="1"/>
        <rFont val="Calibri"/>
        <family val="2"/>
        <scheme val="minor"/>
      </rPr>
      <t>: Retirado o valor singular de Demarcação que altera consideravelmente a média</t>
    </r>
  </si>
  <si>
    <r>
      <rPr>
        <b/>
        <sz val="10"/>
        <color rgb="FFFF0000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Retirado o valor singular de Demarcação que altera consideravelmente a média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</si>
</sst>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222222"/>
      <name val="Trebuchet MS"/>
      <family val="2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"/>
      <name val="Calibri"/>
      <family val="2"/>
      <scheme val="minor"/>
    </font>
    <font>
      <u/>
      <sz val="4"/>
      <color theme="10"/>
      <name val="Calibri"/>
      <family val="2"/>
      <scheme val="minor"/>
    </font>
    <font>
      <u/>
      <sz val="4"/>
      <color theme="4" tint="-0.249977111117893"/>
      <name val="Calibri"/>
      <family val="2"/>
      <scheme val="minor"/>
    </font>
    <font>
      <u/>
      <sz val="4"/>
      <color theme="1"/>
      <name val="Calibri"/>
      <family val="2"/>
      <scheme val="minor"/>
    </font>
    <font>
      <sz val="4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theme="0" tint="-4.9989318521683403E-2"/>
        <bgColor theme="4" tint="0.59999389629810485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9.9978637043366805E-2"/>
        <bgColor theme="4" tint="0.59999389629810485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6" tint="0.59999389629810485"/>
        <bgColor theme="4" tint="0.59999389629810485"/>
      </patternFill>
    </fill>
    <fill>
      <patternFill patternType="solid">
        <fgColor rgb="FF7030A0"/>
        <bgColor indexed="64"/>
      </patternFill>
    </fill>
  </fills>
  <borders count="9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double">
        <color theme="5" tint="-0.24994659260841701"/>
      </left>
      <right/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7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shrinkToFit="1"/>
    </xf>
    <xf numFmtId="0" fontId="0" fillId="0" borderId="0" xfId="0" applyBorder="1"/>
    <xf numFmtId="0" fontId="0" fillId="0" borderId="12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1" fontId="0" fillId="0" borderId="0" xfId="0" applyNumberFormat="1"/>
    <xf numFmtId="0" fontId="4" fillId="0" borderId="2" xfId="0" applyFont="1" applyFill="1" applyBorder="1"/>
    <xf numFmtId="0" fontId="4" fillId="0" borderId="4" xfId="0" applyFont="1" applyFill="1" applyBorder="1"/>
    <xf numFmtId="0" fontId="4" fillId="0" borderId="0" xfId="0" applyFont="1" applyFill="1" applyBorder="1"/>
    <xf numFmtId="0" fontId="4" fillId="0" borderId="1" xfId="0" applyFont="1" applyFill="1" applyBorder="1"/>
    <xf numFmtId="0" fontId="14" fillId="0" borderId="0" xfId="0" applyFont="1" applyAlignment="1">
      <alignment horizontal="justify" vertical="center"/>
    </xf>
    <xf numFmtId="0" fontId="3" fillId="0" borderId="0" xfId="1" applyAlignment="1">
      <alignment horizontal="justify" vertical="center"/>
    </xf>
    <xf numFmtId="0" fontId="0" fillId="0" borderId="0" xfId="0" applyFont="1"/>
    <xf numFmtId="0" fontId="6" fillId="0" borderId="0" xfId="0" applyFont="1" applyFill="1" applyAlignment="1"/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Border="1" applyAlignment="1">
      <alignment shrinkToFi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3" xfId="0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7" borderId="0" xfId="0" applyFill="1" applyBorder="1" applyAlignment="1">
      <alignment horizontal="center" vertical="center"/>
    </xf>
    <xf numFmtId="20" fontId="4" fillId="0" borderId="2" xfId="0" applyNumberFormat="1" applyFont="1" applyFill="1" applyBorder="1"/>
    <xf numFmtId="0" fontId="4" fillId="0" borderId="2" xfId="1" applyFont="1" applyFill="1" applyBorder="1"/>
    <xf numFmtId="20" fontId="4" fillId="0" borderId="3" xfId="0" applyNumberFormat="1" applyFont="1" applyFill="1" applyBorder="1"/>
    <xf numFmtId="0" fontId="4" fillId="0" borderId="3" xfId="0" applyFont="1" applyFill="1" applyBorder="1"/>
    <xf numFmtId="0" fontId="3" fillId="0" borderId="2" xfId="1" applyFont="1" applyFill="1" applyBorder="1" applyAlignment="1">
      <alignment shrinkToFit="1"/>
    </xf>
    <xf numFmtId="20" fontId="0" fillId="0" borderId="2" xfId="0" applyNumberFormat="1" applyFont="1" applyFill="1" applyBorder="1"/>
    <xf numFmtId="14" fontId="0" fillId="0" borderId="69" xfId="0" applyNumberFormat="1" applyFont="1" applyFill="1" applyBorder="1"/>
    <xf numFmtId="0" fontId="0" fillId="0" borderId="2" xfId="0" applyFont="1" applyFill="1" applyBorder="1"/>
    <xf numFmtId="0" fontId="0" fillId="0" borderId="2" xfId="1" applyFont="1" applyFill="1" applyBorder="1"/>
    <xf numFmtId="14" fontId="0" fillId="0" borderId="1" xfId="0" applyNumberFormat="1" applyFont="1" applyFill="1" applyBorder="1" applyAlignment="1"/>
    <xf numFmtId="14" fontId="0" fillId="0" borderId="1" xfId="0" applyNumberFormat="1" applyFont="1" applyFill="1" applyBorder="1"/>
    <xf numFmtId="0" fontId="0" fillId="0" borderId="4" xfId="0" applyFont="1" applyFill="1" applyBorder="1"/>
    <xf numFmtId="0" fontId="6" fillId="0" borderId="6" xfId="0" applyFont="1" applyFill="1" applyBorder="1"/>
    <xf numFmtId="0" fontId="6" fillId="0" borderId="72" xfId="0" applyFont="1" applyFill="1" applyBorder="1"/>
    <xf numFmtId="0" fontId="6" fillId="0" borderId="72" xfId="0" applyFont="1" applyFill="1" applyBorder="1" applyAlignment="1">
      <alignment shrinkToFit="1"/>
    </xf>
    <xf numFmtId="0" fontId="6" fillId="0" borderId="7" xfId="0" applyFont="1" applyFill="1" applyBorder="1"/>
    <xf numFmtId="14" fontId="0" fillId="0" borderId="45" xfId="0" applyNumberFormat="1" applyFont="1" applyFill="1" applyBorder="1" applyAlignment="1"/>
    <xf numFmtId="20" fontId="0" fillId="0" borderId="3" xfId="0" applyNumberFormat="1" applyFont="1" applyFill="1" applyBorder="1"/>
    <xf numFmtId="0" fontId="0" fillId="0" borderId="3" xfId="0" applyFont="1" applyFill="1" applyBorder="1"/>
    <xf numFmtId="0" fontId="0" fillId="0" borderId="5" xfId="0" applyFont="1" applyFill="1" applyBorder="1"/>
    <xf numFmtId="14" fontId="0" fillId="0" borderId="45" xfId="0" applyNumberFormat="1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7" borderId="8" xfId="0" applyFill="1" applyBorder="1"/>
    <xf numFmtId="0" fontId="8" fillId="7" borderId="9" xfId="0" applyFont="1" applyFill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14" fontId="0" fillId="0" borderId="70" xfId="0" applyNumberFormat="1" applyFont="1" applyFill="1" applyBorder="1"/>
    <xf numFmtId="14" fontId="0" fillId="0" borderId="71" xfId="0" applyNumberFormat="1" applyFont="1" applyFill="1" applyBorder="1"/>
    <xf numFmtId="164" fontId="0" fillId="7" borderId="12" xfId="0" applyNumberFormat="1" applyFont="1" applyFill="1" applyBorder="1" applyAlignment="1">
      <alignment horizontal="center" vertical="center"/>
    </xf>
    <xf numFmtId="164" fontId="0" fillId="7" borderId="15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0" fillId="8" borderId="11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/>
    </xf>
    <xf numFmtId="0" fontId="0" fillId="8" borderId="13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0" fontId="0" fillId="7" borderId="77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78" xfId="0" applyFont="1" applyFill="1" applyBorder="1" applyAlignment="1">
      <alignment horizontal="center" vertical="center"/>
    </xf>
    <xf numFmtId="0" fontId="0" fillId="7" borderId="11" xfId="0" applyFont="1" applyFill="1" applyBorder="1" applyAlignment="1">
      <alignment horizontal="center" vertical="center"/>
    </xf>
    <xf numFmtId="0" fontId="0" fillId="7" borderId="13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9" fontId="0" fillId="7" borderId="12" xfId="2" applyFont="1" applyFill="1" applyBorder="1" applyAlignment="1">
      <alignment horizontal="center" vertical="center"/>
    </xf>
    <xf numFmtId="9" fontId="0" fillId="0" borderId="12" xfId="2" applyFont="1" applyBorder="1" applyAlignment="1">
      <alignment horizontal="center" vertical="center"/>
    </xf>
    <xf numFmtId="9" fontId="0" fillId="7" borderId="15" xfId="2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0" fillId="6" borderId="0" xfId="0" applyFill="1"/>
    <xf numFmtId="0" fontId="8" fillId="0" borderId="74" xfId="0" applyFont="1" applyBorder="1" applyAlignment="1">
      <alignment horizontal="center" vertical="center" wrapText="1"/>
    </xf>
    <xf numFmtId="9" fontId="0" fillId="0" borderId="12" xfId="2" applyFont="1" applyFill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1" fontId="0" fillId="8" borderId="0" xfId="0" applyNumberFormat="1" applyFont="1" applyFill="1" applyBorder="1" applyAlignment="1">
      <alignment horizontal="center" vertical="center"/>
    </xf>
    <xf numFmtId="1" fontId="0" fillId="8" borderId="12" xfId="0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12" xfId="0" applyNumberFormat="1" applyFont="1" applyBorder="1" applyAlignment="1">
      <alignment horizontal="center" vertic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15" xfId="0" applyNumberFormat="1" applyFont="1" applyBorder="1" applyAlignment="1">
      <alignment horizontal="center" vertical="center"/>
    </xf>
    <xf numFmtId="0" fontId="0" fillId="7" borderId="79" xfId="0" applyFill="1" applyBorder="1" applyAlignment="1">
      <alignment horizontal="center" vertical="center"/>
    </xf>
    <xf numFmtId="0" fontId="0" fillId="7" borderId="82" xfId="0" applyFill="1" applyBorder="1"/>
    <xf numFmtId="0" fontId="4" fillId="8" borderId="14" xfId="0" applyFont="1" applyFill="1" applyBorder="1" applyAlignment="1">
      <alignment horizontal="center" vertical="center"/>
    </xf>
    <xf numFmtId="1" fontId="0" fillId="8" borderId="14" xfId="0" applyNumberFormat="1" applyFont="1" applyFill="1" applyBorder="1" applyAlignment="1">
      <alignment horizontal="center" vertical="center"/>
    </xf>
    <xf numFmtId="1" fontId="0" fillId="8" borderId="15" xfId="0" applyNumberFormat="1" applyFont="1" applyFill="1" applyBorder="1" applyAlignment="1">
      <alignment horizontal="center" vertical="center"/>
    </xf>
    <xf numFmtId="1" fontId="0" fillId="7" borderId="0" xfId="0" applyNumberFormat="1" applyFont="1" applyFill="1" applyBorder="1" applyAlignment="1">
      <alignment horizontal="center" vertical="center"/>
    </xf>
    <xf numFmtId="1" fontId="0" fillId="7" borderId="12" xfId="0" applyNumberFormat="1" applyFont="1" applyFill="1" applyBorder="1" applyAlignment="1">
      <alignment horizontal="center" vertical="center"/>
    </xf>
    <xf numFmtId="1" fontId="0" fillId="7" borderId="14" xfId="0" applyNumberFormat="1" applyFont="1" applyFill="1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8" fillId="7" borderId="9" xfId="0" applyFont="1" applyFill="1" applyBorder="1" applyAlignment="1">
      <alignment horizontal="center" vertical="center"/>
    </xf>
    <xf numFmtId="20" fontId="17" fillId="0" borderId="2" xfId="0" applyNumberFormat="1" applyFont="1" applyFill="1" applyBorder="1"/>
    <xf numFmtId="20" fontId="17" fillId="0" borderId="3" xfId="0" applyNumberFormat="1" applyFont="1" applyFill="1" applyBorder="1"/>
    <xf numFmtId="14" fontId="18" fillId="0" borderId="69" xfId="0" applyNumberFormat="1" applyFont="1" applyFill="1" applyBorder="1"/>
    <xf numFmtId="0" fontId="18" fillId="0" borderId="2" xfId="0" applyFont="1" applyFill="1" applyBorder="1"/>
    <xf numFmtId="0" fontId="18" fillId="0" borderId="11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0" fillId="0" borderId="0" xfId="0" applyFont="1" applyAlignment="1">
      <alignment shrinkToFit="1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shrinkToFit="1"/>
    </xf>
    <xf numFmtId="0" fontId="0" fillId="0" borderId="14" xfId="0" applyFont="1" applyFill="1" applyBorder="1" applyAlignment="1">
      <alignment horizontal="center" vertical="center"/>
    </xf>
    <xf numFmtId="9" fontId="0" fillId="0" borderId="15" xfId="2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7" borderId="79" xfId="0" applyFont="1" applyFill="1" applyBorder="1" applyAlignment="1">
      <alignment horizontal="center" vertical="center"/>
    </xf>
    <xf numFmtId="0" fontId="0" fillId="7" borderId="82" xfId="0" applyFont="1" applyFill="1" applyBorder="1"/>
    <xf numFmtId="20" fontId="4" fillId="0" borderId="47" xfId="0" applyNumberFormat="1" applyFont="1" applyBorder="1"/>
    <xf numFmtId="20" fontId="4" fillId="0" borderId="47" xfId="1" applyNumberFormat="1" applyFont="1" applyBorder="1"/>
    <xf numFmtId="2" fontId="4" fillId="0" borderId="47" xfId="0" applyNumberFormat="1" applyFont="1" applyBorder="1" applyAlignment="1">
      <alignment shrinkToFit="1"/>
    </xf>
    <xf numFmtId="20" fontId="4" fillId="8" borderId="0" xfId="0" applyNumberFormat="1" applyFont="1" applyFill="1" applyBorder="1" applyAlignment="1">
      <alignment horizontal="center" vertical="center" wrapText="1"/>
    </xf>
    <xf numFmtId="1" fontId="4" fillId="8" borderId="0" xfId="1" applyNumberFormat="1" applyFont="1" applyFill="1" applyBorder="1" applyAlignment="1">
      <alignment horizontal="center" vertical="center" wrapText="1"/>
    </xf>
    <xf numFmtId="1" fontId="4" fillId="8" borderId="0" xfId="0" applyNumberFormat="1" applyFont="1" applyFill="1" applyBorder="1" applyAlignment="1">
      <alignment horizontal="center" vertical="center" wrapText="1" shrinkToFit="1"/>
    </xf>
    <xf numFmtId="20" fontId="4" fillId="0" borderId="0" xfId="0" applyNumberFormat="1" applyFont="1" applyBorder="1" applyAlignment="1">
      <alignment horizontal="center" vertical="center" wrapText="1"/>
    </xf>
    <xf numFmtId="1" fontId="4" fillId="0" borderId="0" xfId="1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 shrinkToFit="1"/>
    </xf>
    <xf numFmtId="1" fontId="4" fillId="0" borderId="0" xfId="0" applyNumberFormat="1" applyFont="1" applyBorder="1" applyAlignment="1">
      <alignment horizontal="center" vertical="center" wrapText="1" shrinkToFit="1"/>
    </xf>
    <xf numFmtId="14" fontId="4" fillId="8" borderId="11" xfId="0" applyNumberFormat="1" applyFont="1" applyFill="1" applyBorder="1" applyAlignment="1">
      <alignment horizontal="center" vertical="center" wrapText="1"/>
    </xf>
    <xf numFmtId="20" fontId="4" fillId="8" borderId="12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14" fontId="4" fillId="8" borderId="13" xfId="0" applyNumberFormat="1" applyFont="1" applyFill="1" applyBorder="1" applyAlignment="1">
      <alignment horizontal="center" vertical="center" wrapText="1"/>
    </xf>
    <xf numFmtId="20" fontId="4" fillId="8" borderId="14" xfId="0" applyNumberFormat="1" applyFont="1" applyFill="1" applyBorder="1" applyAlignment="1">
      <alignment horizontal="center" vertical="center" wrapText="1"/>
    </xf>
    <xf numFmtId="1" fontId="4" fillId="8" borderId="14" xfId="1" applyNumberFormat="1" applyFont="1" applyFill="1" applyBorder="1" applyAlignment="1">
      <alignment horizontal="center" vertical="center" wrapText="1"/>
    </xf>
    <xf numFmtId="1" fontId="4" fillId="8" borderId="14" xfId="0" applyNumberFormat="1" applyFont="1" applyFill="1" applyBorder="1" applyAlignment="1">
      <alignment horizontal="center" vertical="center" wrapText="1" shrinkToFit="1"/>
    </xf>
    <xf numFmtId="20" fontId="4" fillId="8" borderId="15" xfId="0" applyNumberFormat="1" applyFont="1" applyFill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6" fillId="0" borderId="32" xfId="0" applyFont="1" applyFill="1" applyBorder="1" applyAlignment="1">
      <alignment horizontal="left"/>
    </xf>
    <xf numFmtId="0" fontId="6" fillId="0" borderId="33" xfId="0" applyFont="1" applyFill="1" applyBorder="1"/>
    <xf numFmtId="0" fontId="6" fillId="0" borderId="33" xfId="0" applyFont="1" applyFill="1" applyBorder="1" applyAlignment="1">
      <alignment shrinkToFit="1"/>
    </xf>
    <xf numFmtId="0" fontId="6" fillId="0" borderId="34" xfId="0" applyFont="1" applyFill="1" applyBorder="1"/>
    <xf numFmtId="14" fontId="4" fillId="0" borderId="19" xfId="0" applyNumberFormat="1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20" xfId="1" applyFont="1" applyFill="1" applyBorder="1"/>
    <xf numFmtId="14" fontId="4" fillId="0" borderId="37" xfId="0" applyNumberFormat="1" applyFont="1" applyFill="1" applyBorder="1" applyAlignment="1">
      <alignment horizontal="center"/>
    </xf>
    <xf numFmtId="0" fontId="4" fillId="0" borderId="44" xfId="0" applyFont="1" applyFill="1" applyBorder="1"/>
    <xf numFmtId="14" fontId="4" fillId="0" borderId="21" xfId="0" applyNumberFormat="1" applyFont="1" applyFill="1" applyBorder="1" applyAlignment="1">
      <alignment horizontal="center"/>
    </xf>
    <xf numFmtId="20" fontId="4" fillId="0" borderId="22" xfId="0" applyNumberFormat="1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6" borderId="0" xfId="0" applyFill="1" applyBorder="1"/>
    <xf numFmtId="0" fontId="16" fillId="6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0" fillId="11" borderId="9" xfId="0" applyFill="1" applyBorder="1"/>
    <xf numFmtId="0" fontId="8" fillId="0" borderId="8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0" fillId="14" borderId="47" xfId="0" applyFont="1" applyFill="1" applyBorder="1"/>
    <xf numFmtId="0" fontId="0" fillId="14" borderId="62" xfId="0" applyFont="1" applyFill="1" applyBorder="1"/>
    <xf numFmtId="0" fontId="0" fillId="14" borderId="2" xfId="0" applyFont="1" applyFill="1" applyBorder="1"/>
    <xf numFmtId="0" fontId="0" fillId="14" borderId="4" xfId="0" applyFont="1" applyFill="1" applyBorder="1"/>
    <xf numFmtId="0" fontId="5" fillId="17" borderId="2" xfId="1" applyFont="1" applyFill="1" applyBorder="1"/>
    <xf numFmtId="0" fontId="5" fillId="17" borderId="4" xfId="1" applyFont="1" applyFill="1" applyBorder="1"/>
    <xf numFmtId="0" fontId="0" fillId="17" borderId="2" xfId="0" applyFont="1" applyFill="1" applyBorder="1"/>
    <xf numFmtId="0" fontId="0" fillId="17" borderId="4" xfId="0" applyFont="1" applyFill="1" applyBorder="1"/>
    <xf numFmtId="0" fontId="0" fillId="6" borderId="2" xfId="0" applyFont="1" applyFill="1" applyBorder="1"/>
    <xf numFmtId="0" fontId="0" fillId="6" borderId="4" xfId="0" applyFont="1" applyFill="1" applyBorder="1"/>
    <xf numFmtId="0" fontId="0" fillId="18" borderId="2" xfId="0" applyFont="1" applyFill="1" applyBorder="1"/>
    <xf numFmtId="0" fontId="0" fillId="18" borderId="4" xfId="0" applyFont="1" applyFill="1" applyBorder="1"/>
    <xf numFmtId="0" fontId="0" fillId="18" borderId="19" xfId="0" applyFont="1" applyFill="1" applyBorder="1" applyAlignment="1">
      <alignment horizontal="center" vertical="center"/>
    </xf>
    <xf numFmtId="1" fontId="0" fillId="18" borderId="19" xfId="0" applyNumberFormat="1" applyFont="1" applyFill="1" applyBorder="1" applyAlignment="1">
      <alignment horizontal="center" vertical="center"/>
    </xf>
    <xf numFmtId="1" fontId="0" fillId="18" borderId="2" xfId="0" applyNumberFormat="1" applyFont="1" applyFill="1" applyBorder="1" applyAlignment="1">
      <alignment horizontal="center" vertical="center"/>
    </xf>
    <xf numFmtId="1" fontId="0" fillId="18" borderId="20" xfId="0" applyNumberFormat="1" applyFont="1" applyFill="1" applyBorder="1" applyAlignment="1">
      <alignment horizontal="center" vertical="center"/>
    </xf>
    <xf numFmtId="1" fontId="0" fillId="18" borderId="1" xfId="0" applyNumberFormat="1" applyFont="1" applyFill="1" applyBorder="1" applyAlignment="1">
      <alignment horizontal="center" vertical="center"/>
    </xf>
    <xf numFmtId="0" fontId="0" fillId="19" borderId="19" xfId="0" applyFont="1" applyFill="1" applyBorder="1" applyAlignment="1">
      <alignment horizontal="center" vertical="center"/>
    </xf>
    <xf numFmtId="0" fontId="0" fillId="19" borderId="2" xfId="0" applyFont="1" applyFill="1" applyBorder="1"/>
    <xf numFmtId="0" fontId="0" fillId="19" borderId="4" xfId="0" applyFont="1" applyFill="1" applyBorder="1"/>
    <xf numFmtId="1" fontId="0" fillId="19" borderId="19" xfId="0" applyNumberFormat="1" applyFont="1" applyFill="1" applyBorder="1" applyAlignment="1">
      <alignment horizontal="center" vertical="center"/>
    </xf>
    <xf numFmtId="1" fontId="0" fillId="19" borderId="2" xfId="0" applyNumberFormat="1" applyFont="1" applyFill="1" applyBorder="1" applyAlignment="1">
      <alignment horizontal="center" vertical="center"/>
    </xf>
    <xf numFmtId="1" fontId="0" fillId="19" borderId="20" xfId="0" applyNumberFormat="1" applyFont="1" applyFill="1" applyBorder="1" applyAlignment="1">
      <alignment horizontal="center" vertical="center"/>
    </xf>
    <xf numFmtId="1" fontId="0" fillId="19" borderId="1" xfId="0" applyNumberFormat="1" applyFont="1" applyFill="1" applyBorder="1" applyAlignment="1">
      <alignment horizontal="center" vertical="center"/>
    </xf>
    <xf numFmtId="0" fontId="0" fillId="19" borderId="22" xfId="0" applyFont="1" applyFill="1" applyBorder="1"/>
    <xf numFmtId="0" fontId="0" fillId="19" borderId="24" xfId="0" applyFont="1" applyFill="1" applyBorder="1"/>
    <xf numFmtId="0" fontId="8" fillId="0" borderId="84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4" fillId="19" borderId="47" xfId="0" applyFont="1" applyFill="1" applyBorder="1"/>
    <xf numFmtId="0" fontId="4" fillId="19" borderId="62" xfId="0" applyFont="1" applyFill="1" applyBorder="1"/>
    <xf numFmtId="0" fontId="4" fillId="19" borderId="2" xfId="0" applyFont="1" applyFill="1" applyBorder="1"/>
    <xf numFmtId="0" fontId="4" fillId="19" borderId="4" xfId="0" applyFont="1" applyFill="1" applyBorder="1"/>
    <xf numFmtId="0" fontId="4" fillId="19" borderId="19" xfId="0" applyFont="1" applyFill="1" applyBorder="1" applyAlignment="1">
      <alignment horizontal="center" vertical="center"/>
    </xf>
    <xf numFmtId="1" fontId="4" fillId="19" borderId="27" xfId="0" applyNumberFormat="1" applyFont="1" applyFill="1" applyBorder="1" applyAlignment="1">
      <alignment horizontal="center" vertical="center"/>
    </xf>
    <xf numFmtId="1" fontId="4" fillId="19" borderId="25" xfId="0" applyNumberFormat="1" applyFont="1" applyFill="1" applyBorder="1" applyAlignment="1">
      <alignment horizontal="center" vertical="center"/>
    </xf>
    <xf numFmtId="1" fontId="4" fillId="19" borderId="28" xfId="0" applyNumberFormat="1" applyFont="1" applyFill="1" applyBorder="1" applyAlignment="1">
      <alignment horizontal="center" vertical="center"/>
    </xf>
    <xf numFmtId="0" fontId="4" fillId="19" borderId="22" xfId="0" applyFont="1" applyFill="1" applyBorder="1"/>
    <xf numFmtId="0" fontId="4" fillId="19" borderId="24" xfId="0" applyFont="1" applyFill="1" applyBorder="1"/>
    <xf numFmtId="0" fontId="4" fillId="18" borderId="2" xfId="0" applyFont="1" applyFill="1" applyBorder="1"/>
    <xf numFmtId="0" fontId="4" fillId="18" borderId="4" xfId="0" applyFont="1" applyFill="1" applyBorder="1"/>
    <xf numFmtId="0" fontId="4" fillId="6" borderId="2" xfId="0" applyFont="1" applyFill="1" applyBorder="1"/>
    <xf numFmtId="0" fontId="4" fillId="6" borderId="4" xfId="0" applyFont="1" applyFill="1" applyBorder="1"/>
    <xf numFmtId="0" fontId="4" fillId="18" borderId="19" xfId="0" applyFont="1" applyFill="1" applyBorder="1" applyAlignment="1">
      <alignment horizontal="center" vertical="center"/>
    </xf>
    <xf numFmtId="1" fontId="4" fillId="18" borderId="27" xfId="0" applyNumberFormat="1" applyFont="1" applyFill="1" applyBorder="1" applyAlignment="1">
      <alignment horizontal="center" vertical="center"/>
    </xf>
    <xf numFmtId="1" fontId="4" fillId="18" borderId="25" xfId="0" applyNumberFormat="1" applyFont="1" applyFill="1" applyBorder="1" applyAlignment="1">
      <alignment horizontal="center" vertical="center"/>
    </xf>
    <xf numFmtId="1" fontId="4" fillId="18" borderId="28" xfId="0" applyNumberFormat="1" applyFont="1" applyFill="1" applyBorder="1" applyAlignment="1">
      <alignment horizontal="center" vertical="center"/>
    </xf>
    <xf numFmtId="1" fontId="4" fillId="8" borderId="0" xfId="0" applyNumberFormat="1" applyFont="1" applyFill="1" applyBorder="1" applyAlignment="1">
      <alignment horizontal="center" vertical="center"/>
    </xf>
    <xf numFmtId="0" fontId="4" fillId="20" borderId="2" xfId="0" applyFont="1" applyFill="1" applyBorder="1"/>
    <xf numFmtId="0" fontId="4" fillId="20" borderId="4" xfId="0" applyFont="1" applyFill="1" applyBorder="1"/>
    <xf numFmtId="0" fontId="4" fillId="20" borderId="19" xfId="0" applyFont="1" applyFill="1" applyBorder="1" applyAlignment="1">
      <alignment horizontal="center" vertical="center"/>
    </xf>
    <xf numFmtId="1" fontId="4" fillId="20" borderId="27" xfId="0" applyNumberFormat="1" applyFont="1" applyFill="1" applyBorder="1" applyAlignment="1">
      <alignment horizontal="center" vertical="center"/>
    </xf>
    <xf numFmtId="1" fontId="4" fillId="20" borderId="25" xfId="0" applyNumberFormat="1" applyFont="1" applyFill="1" applyBorder="1" applyAlignment="1">
      <alignment horizontal="center" vertical="center"/>
    </xf>
    <xf numFmtId="1" fontId="4" fillId="20" borderId="28" xfId="0" applyNumberFormat="1" applyFont="1" applyFill="1" applyBorder="1" applyAlignment="1">
      <alignment horizontal="center" vertical="center"/>
    </xf>
    <xf numFmtId="0" fontId="4" fillId="17" borderId="21" xfId="0" applyFont="1" applyFill="1" applyBorder="1" applyAlignment="1">
      <alignment horizontal="center" vertical="center"/>
    </xf>
    <xf numFmtId="0" fontId="4" fillId="17" borderId="22" xfId="0" applyFont="1" applyFill="1" applyBorder="1"/>
    <xf numFmtId="0" fontId="4" fillId="17" borderId="24" xfId="0" applyFont="1" applyFill="1" applyBorder="1"/>
    <xf numFmtId="1" fontId="4" fillId="17" borderId="29" xfId="0" applyNumberFormat="1" applyFont="1" applyFill="1" applyBorder="1" applyAlignment="1">
      <alignment horizontal="center" vertical="center"/>
    </xf>
    <xf numFmtId="1" fontId="4" fillId="17" borderId="30" xfId="0" applyNumberFormat="1" applyFont="1" applyFill="1" applyBorder="1" applyAlignment="1">
      <alignment horizontal="center" vertical="center"/>
    </xf>
    <xf numFmtId="1" fontId="4" fillId="17" borderId="31" xfId="0" applyNumberFormat="1" applyFont="1" applyFill="1" applyBorder="1" applyAlignment="1">
      <alignment horizontal="center" vertical="center"/>
    </xf>
    <xf numFmtId="0" fontId="4" fillId="17" borderId="2" xfId="0" applyFont="1" applyFill="1" applyBorder="1"/>
    <xf numFmtId="0" fontId="4" fillId="17" borderId="4" xfId="0" applyFont="1" applyFill="1" applyBorder="1"/>
    <xf numFmtId="0" fontId="4" fillId="17" borderId="19" xfId="1" applyFont="1" applyFill="1" applyBorder="1" applyAlignment="1">
      <alignment horizontal="center" vertical="center"/>
    </xf>
    <xf numFmtId="0" fontId="4" fillId="17" borderId="2" xfId="1" applyFont="1" applyFill="1" applyBorder="1"/>
    <xf numFmtId="0" fontId="4" fillId="17" borderId="4" xfId="1" applyFont="1" applyFill="1" applyBorder="1"/>
    <xf numFmtId="1" fontId="4" fillId="17" borderId="27" xfId="1" applyNumberFormat="1" applyFont="1" applyFill="1" applyBorder="1" applyAlignment="1">
      <alignment horizontal="center" vertical="center"/>
    </xf>
    <xf numFmtId="1" fontId="4" fillId="17" borderId="25" xfId="1" applyNumberFormat="1" applyFont="1" applyFill="1" applyBorder="1" applyAlignment="1">
      <alignment horizontal="center" vertical="center"/>
    </xf>
    <xf numFmtId="1" fontId="4" fillId="17" borderId="28" xfId="1" applyNumberFormat="1" applyFont="1" applyFill="1" applyBorder="1" applyAlignment="1">
      <alignment horizontal="center" vertical="center"/>
    </xf>
    <xf numFmtId="0" fontId="4" fillId="20" borderId="47" xfId="0" applyFont="1" applyFill="1" applyBorder="1"/>
    <xf numFmtId="0" fontId="4" fillId="20" borderId="62" xfId="0" applyFont="1" applyFill="1" applyBorder="1"/>
    <xf numFmtId="0" fontId="4" fillId="21" borderId="39" xfId="0" applyFont="1" applyFill="1" applyBorder="1" applyAlignment="1">
      <alignment horizontal="center" vertical="center"/>
    </xf>
    <xf numFmtId="0" fontId="4" fillId="21" borderId="47" xfId="0" applyFont="1" applyFill="1" applyBorder="1"/>
    <xf numFmtId="0" fontId="4" fillId="21" borderId="62" xfId="0" applyFont="1" applyFill="1" applyBorder="1"/>
    <xf numFmtId="1" fontId="4" fillId="21" borderId="89" xfId="0" applyNumberFormat="1" applyFont="1" applyFill="1" applyBorder="1" applyAlignment="1">
      <alignment horizontal="center" vertical="center"/>
    </xf>
    <xf numFmtId="1" fontId="4" fillId="21" borderId="90" xfId="0" applyNumberFormat="1" applyFont="1" applyFill="1" applyBorder="1" applyAlignment="1">
      <alignment horizontal="center" vertical="center"/>
    </xf>
    <xf numFmtId="1" fontId="4" fillId="21" borderId="91" xfId="0" applyNumberFormat="1" applyFont="1" applyFill="1" applyBorder="1" applyAlignment="1">
      <alignment horizontal="center" vertical="center"/>
    </xf>
    <xf numFmtId="1" fontId="4" fillId="21" borderId="92" xfId="0" applyNumberFormat="1" applyFont="1" applyFill="1" applyBorder="1" applyAlignment="1">
      <alignment horizontal="center" vertical="center"/>
    </xf>
    <xf numFmtId="0" fontId="4" fillId="21" borderId="2" xfId="0" applyFont="1" applyFill="1" applyBorder="1"/>
    <xf numFmtId="0" fontId="4" fillId="21" borderId="4" xfId="0" applyFont="1" applyFill="1" applyBorder="1"/>
    <xf numFmtId="0" fontId="4" fillId="21" borderId="19" xfId="0" applyFont="1" applyFill="1" applyBorder="1" applyAlignment="1">
      <alignment horizontal="center" vertical="center"/>
    </xf>
    <xf numFmtId="1" fontId="4" fillId="21" borderId="27" xfId="0" applyNumberFormat="1" applyFont="1" applyFill="1" applyBorder="1" applyAlignment="1">
      <alignment horizontal="center" vertical="center"/>
    </xf>
    <xf numFmtId="1" fontId="4" fillId="21" borderId="25" xfId="0" applyNumberFormat="1" applyFont="1" applyFill="1" applyBorder="1" applyAlignment="1">
      <alignment horizontal="center" vertical="center"/>
    </xf>
    <xf numFmtId="1" fontId="4" fillId="21" borderId="28" xfId="0" applyNumberFormat="1" applyFont="1" applyFill="1" applyBorder="1" applyAlignment="1">
      <alignment horizontal="center" vertical="center"/>
    </xf>
    <xf numFmtId="1" fontId="4" fillId="21" borderId="26" xfId="0" applyNumberFormat="1" applyFont="1" applyFill="1" applyBorder="1" applyAlignment="1">
      <alignment horizontal="center" vertical="center"/>
    </xf>
    <xf numFmtId="0" fontId="4" fillId="7" borderId="2" xfId="0" applyFont="1" applyFill="1" applyBorder="1"/>
    <xf numFmtId="0" fontId="4" fillId="7" borderId="4" xfId="0" applyFont="1" applyFill="1" applyBorder="1"/>
    <xf numFmtId="0" fontId="4" fillId="6" borderId="22" xfId="0" applyFont="1" applyFill="1" applyBorder="1"/>
    <xf numFmtId="0" fontId="4" fillId="6" borderId="24" xfId="0" applyFont="1" applyFill="1" applyBorder="1"/>
    <xf numFmtId="1" fontId="4" fillId="18" borderId="26" xfId="0" applyNumberFormat="1" applyFont="1" applyFill="1" applyBorder="1" applyAlignment="1">
      <alignment horizontal="center" vertical="center"/>
    </xf>
    <xf numFmtId="0" fontId="4" fillId="7" borderId="47" xfId="0" applyFont="1" applyFill="1" applyBorder="1"/>
    <xf numFmtId="0" fontId="4" fillId="7" borderId="55" xfId="0" applyFont="1" applyFill="1" applyBorder="1"/>
    <xf numFmtId="0" fontId="4" fillId="20" borderId="20" xfId="0" applyFont="1" applyFill="1" applyBorder="1"/>
    <xf numFmtId="0" fontId="4" fillId="7" borderId="20" xfId="0" applyFont="1" applyFill="1" applyBorder="1"/>
    <xf numFmtId="0" fontId="4" fillId="21" borderId="20" xfId="0" applyFont="1" applyFill="1" applyBorder="1"/>
    <xf numFmtId="0" fontId="4" fillId="7" borderId="3" xfId="0" applyFont="1" applyFill="1" applyBorder="1"/>
    <xf numFmtId="0" fontId="4" fillId="7" borderId="44" xfId="0" applyFont="1" applyFill="1" applyBorder="1"/>
    <xf numFmtId="1" fontId="4" fillId="21" borderId="47" xfId="0" applyNumberFormat="1" applyFont="1" applyFill="1" applyBorder="1"/>
    <xf numFmtId="1" fontId="4" fillId="21" borderId="55" xfId="0" applyNumberFormat="1" applyFont="1" applyFill="1" applyBorder="1"/>
    <xf numFmtId="1" fontId="0" fillId="7" borderId="11" xfId="0" applyNumberFormat="1" applyFill="1" applyBorder="1" applyAlignment="1">
      <alignment horizontal="center" vertical="center"/>
    </xf>
    <xf numFmtId="1" fontId="0" fillId="7" borderId="0" xfId="0" applyNumberFormat="1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1" fontId="4" fillId="20" borderId="2" xfId="1" applyNumberFormat="1" applyFont="1" applyFill="1" applyBorder="1"/>
    <xf numFmtId="1" fontId="4" fillId="20" borderId="20" xfId="1" applyNumberFormat="1" applyFont="1" applyFill="1" applyBorder="1"/>
    <xf numFmtId="1" fontId="4" fillId="21" borderId="2" xfId="0" applyNumberFormat="1" applyFont="1" applyFill="1" applyBorder="1"/>
    <xf numFmtId="1" fontId="4" fillId="21" borderId="20" xfId="0" applyNumberFormat="1" applyFont="1" applyFill="1" applyBorder="1"/>
    <xf numFmtId="1" fontId="4" fillId="20" borderId="2" xfId="0" applyNumberFormat="1" applyFont="1" applyFill="1" applyBorder="1"/>
    <xf numFmtId="1" fontId="4" fillId="20" borderId="20" xfId="0" applyNumberFormat="1" applyFont="1" applyFill="1" applyBorder="1"/>
    <xf numFmtId="1" fontId="4" fillId="7" borderId="2" xfId="0" applyNumberFormat="1" applyFont="1" applyFill="1" applyBorder="1"/>
    <xf numFmtId="1" fontId="4" fillId="7" borderId="20" xfId="0" applyNumberFormat="1" applyFont="1" applyFill="1" applyBorder="1"/>
    <xf numFmtId="1" fontId="4" fillId="20" borderId="22" xfId="0" applyNumberFormat="1" applyFont="1" applyFill="1" applyBorder="1"/>
    <xf numFmtId="1" fontId="4" fillId="20" borderId="23" xfId="0" applyNumberFormat="1" applyFont="1" applyFill="1" applyBorder="1"/>
    <xf numFmtId="0" fontId="4" fillId="21" borderId="2" xfId="1" applyFont="1" applyFill="1" applyBorder="1"/>
    <xf numFmtId="0" fontId="4" fillId="20" borderId="22" xfId="0" applyFont="1" applyFill="1" applyBorder="1"/>
    <xf numFmtId="0" fontId="0" fillId="7" borderId="2" xfId="0" applyFont="1" applyFill="1" applyBorder="1"/>
    <xf numFmtId="0" fontId="0" fillId="7" borderId="20" xfId="0" applyFont="1" applyFill="1" applyBorder="1"/>
    <xf numFmtId="0" fontId="0" fillId="21" borderId="2" xfId="0" applyFont="1" applyFill="1" applyBorder="1"/>
    <xf numFmtId="0" fontId="0" fillId="21" borderId="20" xfId="0" applyFont="1" applyFill="1" applyBorder="1"/>
    <xf numFmtId="1" fontId="4" fillId="20" borderId="2" xfId="0" applyNumberFormat="1" applyFont="1" applyFill="1" applyBorder="1" applyAlignment="1">
      <alignment horizontal="center" vertical="center"/>
    </xf>
    <xf numFmtId="1" fontId="4" fillId="20" borderId="20" xfId="0" applyNumberFormat="1" applyFont="1" applyFill="1" applyBorder="1" applyAlignment="1">
      <alignment horizontal="center" vertical="center"/>
    </xf>
    <xf numFmtId="0" fontId="0" fillId="20" borderId="33" xfId="0" applyFont="1" applyFill="1" applyBorder="1"/>
    <xf numFmtId="0" fontId="0" fillId="20" borderId="34" xfId="0" applyFont="1" applyFill="1" applyBorder="1"/>
    <xf numFmtId="0" fontId="0" fillId="20" borderId="2" xfId="0" applyFont="1" applyFill="1" applyBorder="1"/>
    <xf numFmtId="0" fontId="0" fillId="20" borderId="20" xfId="0" applyFont="1" applyFill="1" applyBorder="1"/>
    <xf numFmtId="0" fontId="4" fillId="21" borderId="20" xfId="1" applyFont="1" applyFill="1" applyBorder="1"/>
    <xf numFmtId="0" fontId="0" fillId="20" borderId="22" xfId="0" applyFont="1" applyFill="1" applyBorder="1"/>
    <xf numFmtId="0" fontId="0" fillId="20" borderId="23" xfId="0" applyFont="1" applyFill="1" applyBorder="1"/>
    <xf numFmtId="0" fontId="0" fillId="17" borderId="20" xfId="0" applyFont="1" applyFill="1" applyBorder="1"/>
    <xf numFmtId="0" fontId="0" fillId="18" borderId="20" xfId="0" applyFont="1" applyFill="1" applyBorder="1"/>
    <xf numFmtId="0" fontId="0" fillId="6" borderId="20" xfId="0" applyFont="1" applyFill="1" applyBorder="1"/>
    <xf numFmtId="0" fontId="4" fillId="18" borderId="22" xfId="0" applyFont="1" applyFill="1" applyBorder="1"/>
    <xf numFmtId="1" fontId="4" fillId="16" borderId="2" xfId="0" applyNumberFormat="1" applyFont="1" applyFill="1" applyBorder="1"/>
    <xf numFmtId="1" fontId="4" fillId="16" borderId="20" xfId="0" applyNumberFormat="1" applyFont="1" applyFill="1" applyBorder="1"/>
    <xf numFmtId="1" fontId="4" fillId="15" borderId="2" xfId="0" applyNumberFormat="1" applyFont="1" applyFill="1" applyBorder="1"/>
    <xf numFmtId="1" fontId="4" fillId="15" borderId="20" xfId="0" applyNumberFormat="1" applyFont="1" applyFill="1" applyBorder="1"/>
    <xf numFmtId="1" fontId="4" fillId="13" borderId="2" xfId="0" applyNumberFormat="1" applyFont="1" applyFill="1" applyBorder="1"/>
    <xf numFmtId="1" fontId="4" fillId="13" borderId="20" xfId="0" applyNumberFormat="1" applyFont="1" applyFill="1" applyBorder="1"/>
    <xf numFmtId="0" fontId="4" fillId="15" borderId="2" xfId="0" applyFont="1" applyFill="1" applyBorder="1"/>
    <xf numFmtId="0" fontId="4" fillId="15" borderId="20" xfId="0" applyFont="1" applyFill="1" applyBorder="1"/>
    <xf numFmtId="0" fontId="4" fillId="16" borderId="2" xfId="0" applyFont="1" applyFill="1" applyBorder="1"/>
    <xf numFmtId="0" fontId="4" fillId="16" borderId="20" xfId="0" applyFont="1" applyFill="1" applyBorder="1"/>
    <xf numFmtId="0" fontId="4" fillId="13" borderId="2" xfId="0" applyFont="1" applyFill="1" applyBorder="1"/>
    <xf numFmtId="0" fontId="4" fillId="13" borderId="20" xfId="0" applyFont="1" applyFill="1" applyBorder="1"/>
    <xf numFmtId="0" fontId="0" fillId="13" borderId="0" xfId="0" applyFill="1"/>
    <xf numFmtId="0" fontId="4" fillId="15" borderId="2" xfId="1" applyFont="1" applyFill="1" applyBorder="1"/>
    <xf numFmtId="0" fontId="4" fillId="15" borderId="20" xfId="1" applyFont="1" applyFill="1" applyBorder="1"/>
    <xf numFmtId="0" fontId="4" fillId="16" borderId="22" xfId="0" applyFont="1" applyFill="1" applyBorder="1"/>
    <xf numFmtId="0" fontId="4" fillId="16" borderId="23" xfId="0" applyFont="1" applyFill="1" applyBorder="1"/>
    <xf numFmtId="1" fontId="4" fillId="8" borderId="14" xfId="0" applyNumberFormat="1" applyFont="1" applyFill="1" applyBorder="1" applyAlignment="1">
      <alignment horizontal="center" vertical="center"/>
    </xf>
    <xf numFmtId="0" fontId="4" fillId="7" borderId="62" xfId="0" applyFont="1" applyFill="1" applyBorder="1"/>
    <xf numFmtId="0" fontId="4" fillId="20" borderId="2" xfId="1" applyFont="1" applyFill="1" applyBorder="1"/>
    <xf numFmtId="0" fontId="4" fillId="20" borderId="4" xfId="1" applyFont="1" applyFill="1" applyBorder="1"/>
    <xf numFmtId="0" fontId="4" fillId="21" borderId="22" xfId="0" applyFont="1" applyFill="1" applyBorder="1"/>
    <xf numFmtId="0" fontId="4" fillId="21" borderId="24" xfId="0" applyFont="1" applyFill="1" applyBorder="1"/>
    <xf numFmtId="0" fontId="4" fillId="20" borderId="32" xfId="0" applyFont="1" applyFill="1" applyBorder="1" applyAlignment="1">
      <alignment horizontal="center" vertical="center"/>
    </xf>
    <xf numFmtId="0" fontId="4" fillId="20" borderId="33" xfId="0" applyFont="1" applyFill="1" applyBorder="1"/>
    <xf numFmtId="0" fontId="4" fillId="20" borderId="68" xfId="0" applyFont="1" applyFill="1" applyBorder="1"/>
    <xf numFmtId="1" fontId="4" fillId="20" borderId="32" xfId="0" applyNumberFormat="1" applyFont="1" applyFill="1" applyBorder="1" applyAlignment="1">
      <alignment horizontal="center" vertical="center"/>
    </xf>
    <xf numFmtId="1" fontId="4" fillId="20" borderId="33" xfId="0" applyNumberFormat="1" applyFont="1" applyFill="1" applyBorder="1" applyAlignment="1">
      <alignment horizontal="center" vertical="center"/>
    </xf>
    <xf numFmtId="1" fontId="4" fillId="20" borderId="34" xfId="0" applyNumberFormat="1" applyFont="1" applyFill="1" applyBorder="1" applyAlignment="1">
      <alignment horizontal="center" vertical="center"/>
    </xf>
    <xf numFmtId="1" fontId="4" fillId="20" borderId="35" xfId="0" applyNumberFormat="1" applyFont="1" applyFill="1" applyBorder="1" applyAlignment="1">
      <alignment horizontal="center" vertical="center"/>
    </xf>
    <xf numFmtId="0" fontId="4" fillId="21" borderId="4" xfId="1" applyFont="1" applyFill="1" applyBorder="1"/>
    <xf numFmtId="0" fontId="4" fillId="21" borderId="21" xfId="0" applyFont="1" applyFill="1" applyBorder="1" applyAlignment="1">
      <alignment horizontal="center" vertical="center"/>
    </xf>
    <xf numFmtId="0" fontId="4" fillId="20" borderId="24" xfId="0" applyFont="1" applyFill="1" applyBorder="1"/>
    <xf numFmtId="0" fontId="4" fillId="20" borderId="21" xfId="0" applyFont="1" applyFill="1" applyBorder="1" applyAlignment="1">
      <alignment horizontal="center" vertical="center"/>
    </xf>
    <xf numFmtId="0" fontId="4" fillId="20" borderId="22" xfId="0" applyFont="1" applyFill="1" applyBorder="1" applyAlignment="1">
      <alignment horizontal="center" vertical="center"/>
    </xf>
    <xf numFmtId="0" fontId="4" fillId="20" borderId="2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" fontId="4" fillId="17" borderId="2" xfId="0" applyNumberFormat="1" applyFont="1" applyFill="1" applyBorder="1"/>
    <xf numFmtId="1" fontId="4" fillId="17" borderId="20" xfId="0" applyNumberFormat="1" applyFont="1" applyFill="1" applyBorder="1"/>
    <xf numFmtId="1" fontId="4" fillId="18" borderId="2" xfId="0" applyNumberFormat="1" applyFont="1" applyFill="1" applyBorder="1"/>
    <xf numFmtId="1" fontId="4" fillId="18" borderId="20" xfId="0" applyNumberFormat="1" applyFont="1" applyFill="1" applyBorder="1"/>
    <xf numFmtId="1" fontId="4" fillId="6" borderId="2" xfId="0" applyNumberFormat="1" applyFont="1" applyFill="1" applyBorder="1"/>
    <xf numFmtId="1" fontId="4" fillId="6" borderId="20" xfId="0" applyNumberFormat="1" applyFont="1" applyFill="1" applyBorder="1"/>
    <xf numFmtId="1" fontId="4" fillId="18" borderId="2" xfId="1" applyNumberFormat="1" applyFont="1" applyFill="1" applyBorder="1"/>
    <xf numFmtId="1" fontId="4" fillId="18" borderId="20" xfId="1" applyNumberFormat="1" applyFont="1" applyFill="1" applyBorder="1"/>
    <xf numFmtId="0" fontId="4" fillId="17" borderId="20" xfId="1" applyFont="1" applyFill="1" applyBorder="1"/>
    <xf numFmtId="0" fontId="0" fillId="18" borderId="22" xfId="0" applyFont="1" applyFill="1" applyBorder="1"/>
    <xf numFmtId="0" fontId="0" fillId="18" borderId="23" xfId="0" applyFont="1" applyFill="1" applyBorder="1"/>
    <xf numFmtId="0" fontId="20" fillId="22" borderId="12" xfId="0" applyFont="1" applyFill="1" applyBorder="1" applyAlignment="1">
      <alignment horizontal="center" vertical="center"/>
    </xf>
    <xf numFmtId="0" fontId="20" fillId="22" borderId="15" xfId="0" applyFont="1" applyFill="1" applyBorder="1" applyAlignment="1">
      <alignment horizontal="center" vertical="center"/>
    </xf>
    <xf numFmtId="0" fontId="20" fillId="10" borderId="93" xfId="0" applyFont="1" applyFill="1" applyBorder="1" applyAlignment="1">
      <alignment horizontal="center" vertical="center"/>
    </xf>
    <xf numFmtId="0" fontId="20" fillId="9" borderId="93" xfId="0" applyFont="1" applyFill="1" applyBorder="1" applyAlignment="1">
      <alignment horizontal="center" vertical="center"/>
    </xf>
    <xf numFmtId="0" fontId="20" fillId="3" borderId="94" xfId="0" applyFont="1" applyFill="1" applyBorder="1" applyAlignment="1">
      <alignment horizontal="center" vertical="center"/>
    </xf>
    <xf numFmtId="0" fontId="20" fillId="3" borderId="95" xfId="0" applyFont="1" applyFill="1" applyBorder="1" applyAlignment="1">
      <alignment horizontal="center" vertical="center"/>
    </xf>
    <xf numFmtId="0" fontId="20" fillId="10" borderId="96" xfId="0" applyFont="1" applyFill="1" applyBorder="1" applyAlignment="1">
      <alignment horizontal="center" vertical="center"/>
    </xf>
    <xf numFmtId="0" fontId="20" fillId="9" borderId="96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21" fillId="0" borderId="8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1" fontId="19" fillId="8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8" fillId="7" borderId="9" xfId="0" applyFont="1" applyFill="1" applyBorder="1" applyAlignment="1">
      <alignment horizontal="center" vertical="center"/>
    </xf>
    <xf numFmtId="0" fontId="7" fillId="7" borderId="16" xfId="0" quotePrefix="1" applyFont="1" applyFill="1" applyBorder="1" applyAlignment="1">
      <alignment horizontal="center"/>
    </xf>
    <xf numFmtId="0" fontId="7" fillId="7" borderId="17" xfId="0" quotePrefix="1" applyFont="1" applyFill="1" applyBorder="1" applyAlignment="1">
      <alignment horizontal="center"/>
    </xf>
    <xf numFmtId="0" fontId="7" fillId="7" borderId="18" xfId="0" quotePrefix="1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6" fillId="10" borderId="8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6" fillId="10" borderId="11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center" vertical="center"/>
    </xf>
    <xf numFmtId="0" fontId="16" fillId="10" borderId="13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17" fontId="8" fillId="7" borderId="81" xfId="0" quotePrefix="1" applyNumberFormat="1" applyFont="1" applyFill="1" applyBorder="1" applyAlignment="1">
      <alignment horizontal="center" vertical="center"/>
    </xf>
    <xf numFmtId="17" fontId="8" fillId="7" borderId="82" xfId="0" quotePrefix="1" applyNumberFormat="1" applyFont="1" applyFill="1" applyBorder="1" applyAlignment="1">
      <alignment horizontal="center" vertical="center"/>
    </xf>
    <xf numFmtId="17" fontId="8" fillId="7" borderId="83" xfId="0" quotePrefix="1" applyNumberFormat="1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center" vertical="center"/>
    </xf>
    <xf numFmtId="0" fontId="8" fillId="11" borderId="10" xfId="0" applyFont="1" applyFill="1" applyBorder="1" applyAlignment="1">
      <alignment horizontal="center" vertical="center"/>
    </xf>
    <xf numFmtId="1" fontId="0" fillId="6" borderId="27" xfId="0" applyNumberFormat="1" applyFill="1" applyBorder="1" applyAlignment="1">
      <alignment horizontal="center" vertical="center"/>
    </xf>
    <xf numFmtId="1" fontId="0" fillId="6" borderId="25" xfId="0" applyNumberFormat="1" applyFill="1" applyBorder="1" applyAlignment="1">
      <alignment horizontal="center" vertical="center"/>
    </xf>
    <xf numFmtId="1" fontId="0" fillId="6" borderId="28" xfId="0" applyNumberFormat="1" applyFill="1" applyBorder="1" applyAlignment="1">
      <alignment horizontal="center" vertical="center"/>
    </xf>
    <xf numFmtId="1" fontId="0" fillId="6" borderId="26" xfId="0" applyNumberFormat="1" applyFill="1" applyBorder="1" applyAlignment="1">
      <alignment horizontal="center" vertical="center"/>
    </xf>
    <xf numFmtId="1" fontId="0" fillId="7" borderId="28" xfId="0" applyNumberFormat="1" applyFill="1" applyBorder="1" applyAlignment="1">
      <alignment horizontal="center" vertical="center"/>
    </xf>
    <xf numFmtId="1" fontId="0" fillId="7" borderId="27" xfId="0" applyNumberFormat="1" applyFill="1" applyBorder="1" applyAlignment="1">
      <alignment horizontal="center" vertical="center"/>
    </xf>
    <xf numFmtId="1" fontId="0" fillId="7" borderId="25" xfId="0" applyNumberForma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4" fillId="18" borderId="37" xfId="0" applyFont="1" applyFill="1" applyBorder="1" applyAlignment="1">
      <alignment horizontal="center" vertical="center"/>
    </xf>
    <xf numFmtId="0" fontId="4" fillId="18" borderId="38" xfId="0" applyFont="1" applyFill="1" applyBorder="1" applyAlignment="1">
      <alignment horizontal="center" vertical="center"/>
    </xf>
    <xf numFmtId="0" fontId="4" fillId="18" borderId="39" xfId="0" applyFont="1" applyFill="1" applyBorder="1" applyAlignment="1">
      <alignment horizontal="center" vertical="center"/>
    </xf>
    <xf numFmtId="1" fontId="0" fillId="7" borderId="26" xfId="0" applyNumberFormat="1" applyFill="1" applyBorder="1" applyAlignment="1">
      <alignment horizontal="center" vertical="center"/>
    </xf>
    <xf numFmtId="1" fontId="0" fillId="6" borderId="41" xfId="0" applyNumberFormat="1" applyFill="1" applyBorder="1" applyAlignment="1">
      <alignment horizontal="center" vertical="center"/>
    </xf>
    <xf numFmtId="1" fontId="0" fillId="6" borderId="30" xfId="0" applyNumberFormat="1" applyFill="1" applyBorder="1" applyAlignment="1">
      <alignment horizontal="center" vertical="center"/>
    </xf>
    <xf numFmtId="1" fontId="0" fillId="6" borderId="31" xfId="0" applyNumberFormat="1" applyFill="1" applyBorder="1" applyAlignment="1">
      <alignment horizontal="center" vertical="center"/>
    </xf>
    <xf numFmtId="17" fontId="7" fillId="11" borderId="16" xfId="0" quotePrefix="1" applyNumberFormat="1" applyFont="1" applyFill="1" applyBorder="1" applyAlignment="1">
      <alignment horizontal="center" vertical="center"/>
    </xf>
    <xf numFmtId="17" fontId="7" fillId="11" borderId="17" xfId="0" quotePrefix="1" applyNumberFormat="1" applyFont="1" applyFill="1" applyBorder="1" applyAlignment="1">
      <alignment horizontal="center" vertical="center"/>
    </xf>
    <xf numFmtId="17" fontId="7" fillId="11" borderId="18" xfId="0" quotePrefix="1" applyNumberFormat="1" applyFont="1" applyFill="1" applyBorder="1" applyAlignment="1">
      <alignment horizontal="center" vertical="center"/>
    </xf>
    <xf numFmtId="1" fontId="0" fillId="11" borderId="27" xfId="0" applyNumberFormat="1" applyFill="1" applyBorder="1" applyAlignment="1">
      <alignment horizontal="center" vertical="center"/>
    </xf>
    <xf numFmtId="1" fontId="0" fillId="11" borderId="29" xfId="0" applyNumberFormat="1" applyFill="1" applyBorder="1" applyAlignment="1">
      <alignment horizontal="center" vertical="center"/>
    </xf>
    <xf numFmtId="1" fontId="0" fillId="11" borderId="90" xfId="0" applyNumberFormat="1" applyFill="1" applyBorder="1" applyAlignment="1">
      <alignment horizontal="center" vertical="center"/>
    </xf>
    <xf numFmtId="1" fontId="0" fillId="11" borderId="25" xfId="0" applyNumberFormat="1" applyFill="1" applyBorder="1" applyAlignment="1">
      <alignment horizontal="center" vertical="center"/>
    </xf>
    <xf numFmtId="1" fontId="0" fillId="11" borderId="91" xfId="0" applyNumberFormat="1" applyFill="1" applyBorder="1" applyAlignment="1">
      <alignment horizontal="center" vertical="center"/>
    </xf>
    <xf numFmtId="1" fontId="0" fillId="11" borderId="28" xfId="0" applyNumberFormat="1" applyFill="1" applyBorder="1" applyAlignment="1">
      <alignment horizontal="center" vertical="center"/>
    </xf>
    <xf numFmtId="1" fontId="0" fillId="11" borderId="89" xfId="0" applyNumberFormat="1" applyFill="1" applyBorder="1" applyAlignment="1">
      <alignment horizontal="center" vertical="center"/>
    </xf>
    <xf numFmtId="1" fontId="0" fillId="11" borderId="30" xfId="0" applyNumberFormat="1" applyFill="1" applyBorder="1" applyAlignment="1">
      <alignment horizontal="center" vertical="center"/>
    </xf>
    <xf numFmtId="1" fontId="0" fillId="11" borderId="31" xfId="0" applyNumberFormat="1" applyFill="1" applyBorder="1" applyAlignment="1">
      <alignment horizontal="center" vertical="center"/>
    </xf>
    <xf numFmtId="1" fontId="0" fillId="11" borderId="19" xfId="0" applyNumberFormat="1" applyFill="1" applyBorder="1" applyAlignment="1">
      <alignment horizontal="center" vertical="center"/>
    </xf>
    <xf numFmtId="1" fontId="0" fillId="11" borderId="21" xfId="0" applyNumberFormat="1" applyFill="1" applyBorder="1" applyAlignment="1">
      <alignment horizontal="center" vertical="center"/>
    </xf>
    <xf numFmtId="1" fontId="0" fillId="6" borderId="19" xfId="0" applyNumberFormat="1" applyFill="1" applyBorder="1" applyAlignment="1">
      <alignment horizontal="center" vertical="center"/>
    </xf>
    <xf numFmtId="1" fontId="0" fillId="11" borderId="59" xfId="0" applyNumberFormat="1" applyFill="1" applyBorder="1" applyAlignment="1">
      <alignment horizontal="center" vertical="center"/>
    </xf>
    <xf numFmtId="1" fontId="0" fillId="11" borderId="1" xfId="0" applyNumberFormat="1" applyFill="1" applyBorder="1" applyAlignment="1">
      <alignment horizontal="center" vertical="center"/>
    </xf>
    <xf numFmtId="1" fontId="0" fillId="11" borderId="47" xfId="0" applyNumberFormat="1" applyFill="1" applyBorder="1" applyAlignment="1">
      <alignment horizontal="center" vertical="center"/>
    </xf>
    <xf numFmtId="1" fontId="0" fillId="11" borderId="2" xfId="0" applyNumberFormat="1" applyFill="1" applyBorder="1" applyAlignment="1">
      <alignment horizontal="center" vertical="center"/>
    </xf>
    <xf numFmtId="1" fontId="0" fillId="11" borderId="55" xfId="0" applyNumberFormat="1" applyFill="1" applyBorder="1" applyAlignment="1">
      <alignment horizontal="center" vertical="center"/>
    </xf>
    <xf numFmtId="1" fontId="0" fillId="11" borderId="20" xfId="0" applyNumberFormat="1" applyFill="1" applyBorder="1" applyAlignment="1">
      <alignment horizontal="center" vertical="center"/>
    </xf>
    <xf numFmtId="1" fontId="0" fillId="6" borderId="2" xfId="0" applyNumberFormat="1" applyFill="1" applyBorder="1" applyAlignment="1">
      <alignment horizontal="center" vertical="center"/>
    </xf>
    <xf numFmtId="1" fontId="0" fillId="6" borderId="20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11" borderId="39" xfId="0" applyNumberFormat="1" applyFill="1" applyBorder="1" applyAlignment="1">
      <alignment horizontal="center" vertical="center"/>
    </xf>
    <xf numFmtId="1" fontId="0" fillId="11" borderId="22" xfId="0" applyNumberFormat="1" applyFill="1" applyBorder="1" applyAlignment="1">
      <alignment horizontal="center" vertical="center"/>
    </xf>
    <xf numFmtId="1" fontId="0" fillId="11" borderId="23" xfId="0" applyNumberFormat="1" applyFill="1" applyBorder="1" applyAlignment="1">
      <alignment horizontal="center" vertical="center"/>
    </xf>
    <xf numFmtId="1" fontId="0" fillId="11" borderId="36" xfId="0" applyNumberFormat="1" applyFill="1" applyBorder="1" applyAlignment="1">
      <alignment horizontal="center" vertical="center"/>
    </xf>
    <xf numFmtId="0" fontId="4" fillId="17" borderId="37" xfId="0" applyFont="1" applyFill="1" applyBorder="1" applyAlignment="1">
      <alignment horizontal="center" vertical="center"/>
    </xf>
    <xf numFmtId="0" fontId="4" fillId="17" borderId="38" xfId="0" applyFont="1" applyFill="1" applyBorder="1" applyAlignment="1">
      <alignment horizontal="center" vertical="center"/>
    </xf>
    <xf numFmtId="0" fontId="4" fillId="17" borderId="39" xfId="0" applyFont="1" applyFill="1" applyBorder="1" applyAlignment="1">
      <alignment horizontal="center" vertical="center"/>
    </xf>
    <xf numFmtId="0" fontId="17" fillId="20" borderId="37" xfId="0" applyFont="1" applyFill="1" applyBorder="1" applyAlignment="1">
      <alignment horizontal="center" vertical="center"/>
    </xf>
    <xf numFmtId="0" fontId="4" fillId="20" borderId="38" xfId="0" applyFont="1" applyFill="1" applyBorder="1" applyAlignment="1">
      <alignment horizontal="center" vertical="center"/>
    </xf>
    <xf numFmtId="0" fontId="4" fillId="20" borderId="39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20" borderId="37" xfId="0" applyFont="1" applyFill="1" applyBorder="1" applyAlignment="1">
      <alignment horizontal="center" vertical="center"/>
    </xf>
    <xf numFmtId="1" fontId="0" fillId="7" borderId="91" xfId="0" applyNumberFormat="1" applyFill="1" applyBorder="1" applyAlignment="1">
      <alignment horizontal="center" vertical="center"/>
    </xf>
    <xf numFmtId="1" fontId="0" fillId="7" borderId="90" xfId="0" applyNumberFormat="1" applyFill="1" applyBorder="1" applyAlignment="1">
      <alignment horizontal="center" vertical="center"/>
    </xf>
    <xf numFmtId="1" fontId="0" fillId="7" borderId="89" xfId="0" applyNumberFormat="1" applyFill="1" applyBorder="1" applyAlignment="1">
      <alignment horizontal="center" vertical="center"/>
    </xf>
    <xf numFmtId="1" fontId="0" fillId="6" borderId="29" xfId="0" applyNumberFormat="1" applyFill="1" applyBorder="1" applyAlignment="1">
      <alignment horizontal="center" vertical="center"/>
    </xf>
    <xf numFmtId="0" fontId="4" fillId="21" borderId="37" xfId="0" applyFont="1" applyFill="1" applyBorder="1" applyAlignment="1">
      <alignment horizontal="center" vertical="center"/>
    </xf>
    <xf numFmtId="0" fontId="4" fillId="21" borderId="38" xfId="0" applyFont="1" applyFill="1" applyBorder="1" applyAlignment="1">
      <alignment horizontal="center" vertical="center"/>
    </xf>
    <xf numFmtId="0" fontId="4" fillId="21" borderId="39" xfId="0" applyFont="1" applyFill="1" applyBorder="1" applyAlignment="1">
      <alignment horizontal="center" vertical="center"/>
    </xf>
    <xf numFmtId="0" fontId="4" fillId="18" borderId="40" xfId="0" applyFont="1" applyFill="1" applyBorder="1" applyAlignment="1">
      <alignment horizontal="center" vertical="center"/>
    </xf>
    <xf numFmtId="0" fontId="17" fillId="21" borderId="37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0" fontId="4" fillId="19" borderId="39" xfId="0" applyFont="1" applyFill="1" applyBorder="1" applyAlignment="1">
      <alignment horizontal="center" vertical="center"/>
    </xf>
    <xf numFmtId="0" fontId="4" fillId="19" borderId="38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0" fillId="14" borderId="38" xfId="0" applyFont="1" applyFill="1" applyBorder="1" applyAlignment="1">
      <alignment horizontal="center" vertical="center"/>
    </xf>
    <xf numFmtId="0" fontId="0" fillId="14" borderId="39" xfId="0" applyFont="1" applyFill="1" applyBorder="1" applyAlignment="1">
      <alignment horizontal="center" vertical="center"/>
    </xf>
    <xf numFmtId="0" fontId="0" fillId="19" borderId="37" xfId="0" applyFont="1" applyFill="1" applyBorder="1" applyAlignment="1">
      <alignment horizontal="center" vertical="center"/>
    </xf>
    <xf numFmtId="0" fontId="0" fillId="19" borderId="38" xfId="0" applyFont="1" applyFill="1" applyBorder="1" applyAlignment="1">
      <alignment horizontal="center" vertical="center"/>
    </xf>
    <xf numFmtId="0" fontId="0" fillId="19" borderId="40" xfId="0" applyFont="1" applyFill="1" applyBorder="1" applyAlignment="1">
      <alignment horizontal="center" vertical="center"/>
    </xf>
    <xf numFmtId="0" fontId="0" fillId="18" borderId="37" xfId="0" applyFont="1" applyFill="1" applyBorder="1" applyAlignment="1">
      <alignment horizontal="center" vertical="center"/>
    </xf>
    <xf numFmtId="0" fontId="0" fillId="18" borderId="38" xfId="0" applyFont="1" applyFill="1" applyBorder="1" applyAlignment="1">
      <alignment horizontal="center" vertical="center"/>
    </xf>
    <xf numFmtId="0" fontId="0" fillId="18" borderId="39" xfId="0" applyFont="1" applyFill="1" applyBorder="1" applyAlignment="1">
      <alignment horizontal="center" vertical="center"/>
    </xf>
    <xf numFmtId="0" fontId="0" fillId="19" borderId="39" xfId="0" applyFont="1" applyFill="1" applyBorder="1" applyAlignment="1">
      <alignment horizontal="center" vertical="center"/>
    </xf>
    <xf numFmtId="0" fontId="18" fillId="19" borderId="37" xfId="0" applyFont="1" applyFill="1" applyBorder="1" applyAlignment="1">
      <alignment horizontal="center" vertical="center"/>
    </xf>
    <xf numFmtId="0" fontId="4" fillId="17" borderId="37" xfId="1" applyFont="1" applyFill="1" applyBorder="1" applyAlignment="1">
      <alignment horizontal="center" vertical="center"/>
    </xf>
    <xf numFmtId="0" fontId="4" fillId="17" borderId="38" xfId="1" applyFont="1" applyFill="1" applyBorder="1" applyAlignment="1">
      <alignment horizontal="center" vertical="center"/>
    </xf>
    <xf numFmtId="0" fontId="4" fillId="17" borderId="39" xfId="1" applyFont="1" applyFill="1" applyBorder="1" applyAlignment="1">
      <alignment horizontal="center" vertical="center"/>
    </xf>
    <xf numFmtId="0" fontId="17" fillId="18" borderId="37" xfId="0" applyFont="1" applyFill="1" applyBorder="1" applyAlignment="1">
      <alignment horizontal="center" vertical="center"/>
    </xf>
    <xf numFmtId="1" fontId="0" fillId="13" borderId="12" xfId="0" applyNumberFormat="1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1" fontId="0" fillId="7" borderId="11" xfId="0" applyNumberForma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1" fontId="0" fillId="7" borderId="0" xfId="0" applyNumberForma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4" fillId="16" borderId="37" xfId="0" applyFont="1" applyFill="1" applyBorder="1" applyAlignment="1">
      <alignment horizontal="center" vertical="center"/>
    </xf>
    <xf numFmtId="0" fontId="4" fillId="16" borderId="38" xfId="0" applyFont="1" applyFill="1" applyBorder="1" applyAlignment="1">
      <alignment horizontal="center" vertical="center"/>
    </xf>
    <xf numFmtId="0" fontId="4" fillId="16" borderId="39" xfId="0" applyFont="1" applyFill="1" applyBorder="1" applyAlignment="1">
      <alignment horizontal="center" vertical="center"/>
    </xf>
    <xf numFmtId="1" fontId="0" fillId="13" borderId="11" xfId="0" applyNumberFormat="1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1" fontId="0" fillId="13" borderId="48" xfId="0" applyNumberFormat="1" applyFill="1" applyBorder="1" applyAlignment="1">
      <alignment horizontal="center" vertical="center"/>
    </xf>
    <xf numFmtId="0" fontId="0" fillId="13" borderId="48" xfId="0" applyFill="1" applyBorder="1" applyAlignment="1">
      <alignment horizontal="center" vertical="center"/>
    </xf>
    <xf numFmtId="1" fontId="0" fillId="13" borderId="0" xfId="0" applyNumberForma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4" fillId="15" borderId="37" xfId="0" applyFont="1" applyFill="1" applyBorder="1" applyAlignment="1">
      <alignment horizontal="center" vertical="center"/>
    </xf>
    <xf numFmtId="0" fontId="4" fillId="15" borderId="38" xfId="0" applyFont="1" applyFill="1" applyBorder="1" applyAlignment="1">
      <alignment horizontal="center" vertical="center"/>
    </xf>
    <xf numFmtId="0" fontId="4" fillId="15" borderId="39" xfId="0" applyFont="1" applyFill="1" applyBorder="1" applyAlignment="1">
      <alignment horizontal="center" vertical="center"/>
    </xf>
    <xf numFmtId="0" fontId="4" fillId="20" borderId="37" xfId="1" applyFont="1" applyFill="1" applyBorder="1" applyAlignment="1">
      <alignment horizontal="center" vertical="center"/>
    </xf>
    <xf numFmtId="0" fontId="4" fillId="20" borderId="38" xfId="1" applyFont="1" applyFill="1" applyBorder="1" applyAlignment="1">
      <alignment horizontal="center" vertical="center"/>
    </xf>
    <xf numFmtId="0" fontId="4" fillId="20" borderId="39" xfId="1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1" fontId="0" fillId="7" borderId="48" xfId="0" applyNumberFormat="1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1" fontId="0" fillId="13" borderId="14" xfId="0" applyNumberFormat="1" applyFill="1" applyBorder="1" applyAlignment="1">
      <alignment horizontal="center" vertical="center"/>
    </xf>
    <xf numFmtId="1" fontId="0" fillId="13" borderId="15" xfId="0" applyNumberFormat="1" applyFill="1" applyBorder="1" applyAlignment="1">
      <alignment horizontal="center" vertical="center"/>
    </xf>
    <xf numFmtId="1" fontId="0" fillId="13" borderId="13" xfId="0" applyNumberFormat="1" applyFill="1" applyBorder="1" applyAlignment="1">
      <alignment horizontal="center" vertical="center"/>
    </xf>
    <xf numFmtId="0" fontId="4" fillId="15" borderId="37" xfId="1" applyFont="1" applyFill="1" applyBorder="1" applyAlignment="1">
      <alignment horizontal="center" vertical="center"/>
    </xf>
    <xf numFmtId="0" fontId="4" fillId="15" borderId="38" xfId="1" applyFont="1" applyFill="1" applyBorder="1" applyAlignment="1">
      <alignment horizontal="center" vertical="center"/>
    </xf>
    <xf numFmtId="0" fontId="4" fillId="15" borderId="40" xfId="1" applyFont="1" applyFill="1" applyBorder="1" applyAlignment="1">
      <alignment horizontal="center" vertical="center"/>
    </xf>
    <xf numFmtId="0" fontId="7" fillId="12" borderId="16" xfId="0" quotePrefix="1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1" fontId="0" fillId="6" borderId="49" xfId="0" applyNumberFormat="1" applyFill="1" applyBorder="1" applyAlignment="1">
      <alignment horizontal="center" vertical="center"/>
    </xf>
    <xf numFmtId="1" fontId="0" fillId="6" borderId="48" xfId="0" applyNumberFormat="1" applyFill="1" applyBorder="1" applyAlignment="1">
      <alignment horizontal="center" vertical="center"/>
    </xf>
    <xf numFmtId="0" fontId="0" fillId="20" borderId="37" xfId="0" applyFont="1" applyFill="1" applyBorder="1" applyAlignment="1">
      <alignment horizontal="center" vertical="center"/>
    </xf>
    <xf numFmtId="0" fontId="0" fillId="20" borderId="38" xfId="0" applyFont="1" applyFill="1" applyBorder="1" applyAlignment="1">
      <alignment horizontal="center" vertical="center"/>
    </xf>
    <xf numFmtId="0" fontId="0" fillId="20" borderId="39" xfId="0" applyFont="1" applyFill="1" applyBorder="1" applyAlignment="1">
      <alignment horizontal="center" vertical="center"/>
    </xf>
    <xf numFmtId="0" fontId="0" fillId="17" borderId="37" xfId="0" applyFont="1" applyFill="1" applyBorder="1" applyAlignment="1">
      <alignment horizontal="center" vertical="center"/>
    </xf>
    <xf numFmtId="0" fontId="0" fillId="17" borderId="38" xfId="0" applyFont="1" applyFill="1" applyBorder="1" applyAlignment="1">
      <alignment horizontal="center" vertical="center"/>
    </xf>
    <xf numFmtId="0" fontId="0" fillId="17" borderId="39" xfId="0" applyFont="1" applyFill="1" applyBorder="1" applyAlignment="1">
      <alignment horizontal="center" vertical="center"/>
    </xf>
    <xf numFmtId="0" fontId="4" fillId="21" borderId="37" xfId="1" applyFont="1" applyFill="1" applyBorder="1" applyAlignment="1">
      <alignment horizontal="center" vertical="center"/>
    </xf>
    <xf numFmtId="0" fontId="4" fillId="21" borderId="38" xfId="1" applyFont="1" applyFill="1" applyBorder="1" applyAlignment="1">
      <alignment horizontal="center" vertical="center"/>
    </xf>
    <xf numFmtId="0" fontId="4" fillId="21" borderId="40" xfId="1" applyFont="1" applyFill="1" applyBorder="1" applyAlignment="1">
      <alignment horizontal="center" vertical="center"/>
    </xf>
    <xf numFmtId="1" fontId="0" fillId="6" borderId="50" xfId="0" applyNumberFormat="1" applyFill="1" applyBorder="1" applyAlignment="1">
      <alignment horizontal="center" vertical="center"/>
    </xf>
    <xf numFmtId="1" fontId="0" fillId="6" borderId="51" xfId="0" applyNumberFormat="1" applyFill="1" applyBorder="1" applyAlignment="1">
      <alignment horizontal="center" vertical="center"/>
    </xf>
    <xf numFmtId="1" fontId="0" fillId="7" borderId="49" xfId="0" applyNumberFormat="1" applyFill="1" applyBorder="1" applyAlignment="1">
      <alignment horizontal="center" vertical="center"/>
    </xf>
    <xf numFmtId="0" fontId="0" fillId="20" borderId="52" xfId="0" applyFont="1" applyFill="1" applyBorder="1" applyAlignment="1">
      <alignment horizontal="center" vertical="center"/>
    </xf>
    <xf numFmtId="1" fontId="0" fillId="20" borderId="52" xfId="0" applyNumberFormat="1" applyFont="1" applyFill="1" applyBorder="1" applyAlignment="1">
      <alignment horizontal="center" vertical="center"/>
    </xf>
    <xf numFmtId="1" fontId="0" fillId="20" borderId="38" xfId="0" applyNumberFormat="1" applyFont="1" applyFill="1" applyBorder="1" applyAlignment="1">
      <alignment horizontal="center" vertical="center"/>
    </xf>
    <xf numFmtId="1" fontId="0" fillId="20" borderId="39" xfId="0" applyNumberFormat="1" applyFont="1" applyFill="1" applyBorder="1" applyAlignment="1">
      <alignment horizontal="center" vertical="center"/>
    </xf>
    <xf numFmtId="1" fontId="0" fillId="18" borderId="37" xfId="0" applyNumberFormat="1" applyFont="1" applyFill="1" applyBorder="1" applyAlignment="1">
      <alignment horizontal="center" vertical="center"/>
    </xf>
    <xf numFmtId="1" fontId="0" fillId="18" borderId="39" xfId="0" applyNumberFormat="1" applyFont="1" applyFill="1" applyBorder="1" applyAlignment="1">
      <alignment horizontal="center" vertical="center"/>
    </xf>
    <xf numFmtId="1" fontId="0" fillId="20" borderId="37" xfId="0" applyNumberFormat="1" applyFont="1" applyFill="1" applyBorder="1" applyAlignment="1">
      <alignment horizontal="center" vertical="center"/>
    </xf>
    <xf numFmtId="1" fontId="0" fillId="17" borderId="37" xfId="0" applyNumberFormat="1" applyFont="1" applyFill="1" applyBorder="1" applyAlignment="1">
      <alignment horizontal="center" vertical="center"/>
    </xf>
    <xf numFmtId="1" fontId="0" fillId="17" borderId="38" xfId="0" applyNumberFormat="1" applyFont="1" applyFill="1" applyBorder="1" applyAlignment="1">
      <alignment horizontal="center" vertical="center"/>
    </xf>
    <xf numFmtId="1" fontId="0" fillId="17" borderId="39" xfId="0" applyNumberFormat="1" applyFont="1" applyFill="1" applyBorder="1" applyAlignment="1">
      <alignment horizontal="center" vertical="center"/>
    </xf>
    <xf numFmtId="1" fontId="0" fillId="18" borderId="3" xfId="0" applyNumberFormat="1" applyFont="1" applyFill="1" applyBorder="1" applyAlignment="1">
      <alignment horizontal="center" vertical="center"/>
    </xf>
    <xf numFmtId="1" fontId="0" fillId="18" borderId="47" xfId="0" applyNumberFormat="1" applyFont="1" applyFill="1" applyBorder="1" applyAlignment="1">
      <alignment horizontal="center" vertical="center"/>
    </xf>
    <xf numFmtId="1" fontId="0" fillId="18" borderId="44" xfId="0" applyNumberFormat="1" applyFont="1" applyFill="1" applyBorder="1" applyAlignment="1">
      <alignment horizontal="center" vertical="center"/>
    </xf>
    <xf numFmtId="1" fontId="0" fillId="18" borderId="55" xfId="0" applyNumberFormat="1" applyFont="1" applyFill="1" applyBorder="1" applyAlignment="1">
      <alignment horizontal="center" vertical="center"/>
    </xf>
    <xf numFmtId="1" fontId="0" fillId="18" borderId="45" xfId="0" applyNumberFormat="1" applyFont="1" applyFill="1" applyBorder="1" applyAlignment="1">
      <alignment horizontal="center" vertical="center"/>
    </xf>
    <xf numFmtId="1" fontId="0" fillId="18" borderId="59" xfId="0" applyNumberFormat="1" applyFont="1" applyFill="1" applyBorder="1" applyAlignment="1">
      <alignment horizontal="center" vertical="center"/>
    </xf>
    <xf numFmtId="1" fontId="0" fillId="20" borderId="54" xfId="0" applyNumberFormat="1" applyFont="1" applyFill="1" applyBorder="1" applyAlignment="1">
      <alignment horizontal="center" vertical="center"/>
    </xf>
    <xf numFmtId="1" fontId="0" fillId="20" borderId="49" xfId="0" applyNumberFormat="1" applyFont="1" applyFill="1" applyBorder="1" applyAlignment="1">
      <alignment horizontal="center" vertical="center"/>
    </xf>
    <xf numFmtId="1" fontId="0" fillId="20" borderId="55" xfId="0" applyNumberFormat="1" applyFont="1" applyFill="1" applyBorder="1" applyAlignment="1">
      <alignment horizontal="center" vertical="center"/>
    </xf>
    <xf numFmtId="1" fontId="0" fillId="20" borderId="57" xfId="0" applyNumberFormat="1" applyFont="1" applyFill="1" applyBorder="1" applyAlignment="1">
      <alignment horizontal="center" vertical="center"/>
    </xf>
    <xf numFmtId="1" fontId="0" fillId="20" borderId="58" xfId="0" applyNumberFormat="1" applyFont="1" applyFill="1" applyBorder="1" applyAlignment="1">
      <alignment horizontal="center" vertical="center"/>
    </xf>
    <xf numFmtId="1" fontId="0" fillId="20" borderId="59" xfId="0" applyNumberFormat="1" applyFont="1" applyFill="1" applyBorder="1" applyAlignment="1">
      <alignment horizontal="center" vertical="center"/>
    </xf>
    <xf numFmtId="1" fontId="0" fillId="20" borderId="53" xfId="0" applyNumberFormat="1" applyFont="1" applyFill="1" applyBorder="1" applyAlignment="1">
      <alignment horizontal="center" vertical="center"/>
    </xf>
    <xf numFmtId="1" fontId="0" fillId="20" borderId="46" xfId="0" applyNumberFormat="1" applyFont="1" applyFill="1" applyBorder="1" applyAlignment="1">
      <alignment horizontal="center" vertical="center"/>
    </xf>
    <xf numFmtId="1" fontId="0" fillId="20" borderId="47" xfId="0" applyNumberFormat="1" applyFont="1" applyFill="1" applyBorder="1" applyAlignment="1">
      <alignment horizontal="center" vertical="center"/>
    </xf>
    <xf numFmtId="1" fontId="0" fillId="20" borderId="3" xfId="0" applyNumberFormat="1" applyFont="1" applyFill="1" applyBorder="1" applyAlignment="1">
      <alignment horizontal="center" vertical="center"/>
    </xf>
    <xf numFmtId="1" fontId="0" fillId="20" borderId="44" xfId="0" applyNumberFormat="1" applyFont="1" applyFill="1" applyBorder="1" applyAlignment="1">
      <alignment horizontal="center" vertical="center"/>
    </xf>
    <xf numFmtId="1" fontId="0" fillId="20" borderId="45" xfId="0" applyNumberFormat="1" applyFont="1" applyFill="1" applyBorder="1" applyAlignment="1">
      <alignment horizontal="center" vertical="center"/>
    </xf>
    <xf numFmtId="1" fontId="4" fillId="21" borderId="3" xfId="1" applyNumberFormat="1" applyFont="1" applyFill="1" applyBorder="1" applyAlignment="1">
      <alignment horizontal="center" vertical="center"/>
    </xf>
    <xf numFmtId="1" fontId="4" fillId="21" borderId="46" xfId="1" applyNumberFormat="1" applyFont="1" applyFill="1" applyBorder="1" applyAlignment="1">
      <alignment horizontal="center" vertical="center"/>
    </xf>
    <xf numFmtId="1" fontId="4" fillId="21" borderId="56" xfId="1" applyNumberFormat="1" applyFont="1" applyFill="1" applyBorder="1" applyAlignment="1">
      <alignment horizontal="center" vertical="center"/>
    </xf>
    <xf numFmtId="1" fontId="4" fillId="21" borderId="44" xfId="1" applyNumberFormat="1" applyFont="1" applyFill="1" applyBorder="1" applyAlignment="1">
      <alignment horizontal="center" vertical="center"/>
    </xf>
    <xf numFmtId="1" fontId="4" fillId="21" borderId="49" xfId="1" applyNumberFormat="1" applyFont="1" applyFill="1" applyBorder="1" applyAlignment="1">
      <alignment horizontal="center" vertical="center"/>
    </xf>
    <xf numFmtId="1" fontId="4" fillId="21" borderId="51" xfId="1" applyNumberFormat="1" applyFont="1" applyFill="1" applyBorder="1" applyAlignment="1">
      <alignment horizontal="center" vertical="center"/>
    </xf>
    <xf numFmtId="1" fontId="4" fillId="21" borderId="45" xfId="1" applyNumberFormat="1" applyFont="1" applyFill="1" applyBorder="1" applyAlignment="1">
      <alignment horizontal="center" vertical="center"/>
    </xf>
    <xf numFmtId="1" fontId="4" fillId="21" borderId="58" xfId="1" applyNumberFormat="1" applyFont="1" applyFill="1" applyBorder="1" applyAlignment="1">
      <alignment horizontal="center" vertical="center"/>
    </xf>
    <xf numFmtId="1" fontId="4" fillId="21" borderId="60" xfId="1" applyNumberFormat="1" applyFont="1" applyFill="1" applyBorder="1" applyAlignment="1">
      <alignment horizontal="center" vertical="center"/>
    </xf>
    <xf numFmtId="1" fontId="0" fillId="17" borderId="3" xfId="0" applyNumberFormat="1" applyFont="1" applyFill="1" applyBorder="1" applyAlignment="1">
      <alignment horizontal="center" vertical="center"/>
    </xf>
    <xf numFmtId="1" fontId="0" fillId="17" borderId="46" xfId="0" applyNumberFormat="1" applyFont="1" applyFill="1" applyBorder="1" applyAlignment="1">
      <alignment horizontal="center" vertical="center"/>
    </xf>
    <xf numFmtId="1" fontId="0" fillId="17" borderId="47" xfId="0" applyNumberFormat="1" applyFont="1" applyFill="1" applyBorder="1" applyAlignment="1">
      <alignment horizontal="center" vertical="center"/>
    </xf>
    <xf numFmtId="1" fontId="0" fillId="17" borderId="44" xfId="0" applyNumberFormat="1" applyFont="1" applyFill="1" applyBorder="1" applyAlignment="1">
      <alignment horizontal="center" vertical="center"/>
    </xf>
    <xf numFmtId="1" fontId="0" fillId="17" borderId="49" xfId="0" applyNumberFormat="1" applyFont="1" applyFill="1" applyBorder="1" applyAlignment="1">
      <alignment horizontal="center" vertical="center"/>
    </xf>
    <xf numFmtId="1" fontId="0" fillId="17" borderId="55" xfId="0" applyNumberFormat="1" applyFont="1" applyFill="1" applyBorder="1" applyAlignment="1">
      <alignment horizontal="center" vertical="center"/>
    </xf>
    <xf numFmtId="1" fontId="0" fillId="17" borderId="45" xfId="0" applyNumberFormat="1" applyFont="1" applyFill="1" applyBorder="1" applyAlignment="1">
      <alignment horizontal="center" vertical="center"/>
    </xf>
    <xf numFmtId="1" fontId="0" fillId="17" borderId="58" xfId="0" applyNumberFormat="1" applyFont="1" applyFill="1" applyBorder="1" applyAlignment="1">
      <alignment horizontal="center" vertical="center"/>
    </xf>
    <xf numFmtId="1" fontId="0" fillId="17" borderId="59" xfId="0" applyNumberFormat="1" applyFont="1" applyFill="1" applyBorder="1" applyAlignment="1">
      <alignment horizontal="center" vertical="center"/>
    </xf>
    <xf numFmtId="1" fontId="4" fillId="21" borderId="37" xfId="1" applyNumberFormat="1" applyFont="1" applyFill="1" applyBorder="1" applyAlignment="1">
      <alignment horizontal="center" vertical="center"/>
    </xf>
    <xf numFmtId="1" fontId="4" fillId="21" borderId="38" xfId="1" applyNumberFormat="1" applyFont="1" applyFill="1" applyBorder="1" applyAlignment="1">
      <alignment horizontal="center" vertical="center"/>
    </xf>
    <xf numFmtId="1" fontId="4" fillId="21" borderId="40" xfId="1" applyNumberFormat="1" applyFont="1" applyFill="1" applyBorder="1" applyAlignment="1">
      <alignment horizontal="center" vertical="center"/>
    </xf>
    <xf numFmtId="0" fontId="0" fillId="7" borderId="37" xfId="0" applyFont="1" applyFill="1" applyBorder="1" applyAlignment="1">
      <alignment horizontal="center" vertical="center"/>
    </xf>
    <xf numFmtId="0" fontId="0" fillId="7" borderId="38" xfId="0" applyFont="1" applyFill="1" applyBorder="1" applyAlignment="1">
      <alignment horizontal="center" vertical="center"/>
    </xf>
    <xf numFmtId="0" fontId="0" fillId="7" borderId="39" xfId="0" applyFont="1" applyFill="1" applyBorder="1" applyAlignment="1">
      <alignment horizontal="center" vertical="center"/>
    </xf>
    <xf numFmtId="1" fontId="0" fillId="18" borderId="61" xfId="0" applyNumberFormat="1" applyFont="1" applyFill="1" applyBorder="1" applyAlignment="1">
      <alignment horizontal="center" vertical="center"/>
    </xf>
    <xf numFmtId="1" fontId="0" fillId="18" borderId="11" xfId="0" applyNumberFormat="1" applyFont="1" applyFill="1" applyBorder="1" applyAlignment="1">
      <alignment horizontal="center" vertical="center"/>
    </xf>
    <xf numFmtId="1" fontId="0" fillId="18" borderId="64" xfId="0" applyNumberFormat="1" applyFont="1" applyFill="1" applyBorder="1" applyAlignment="1">
      <alignment horizontal="center" vertical="center"/>
    </xf>
    <xf numFmtId="1" fontId="4" fillId="21" borderId="55" xfId="1" applyNumberFormat="1" applyFont="1" applyFill="1" applyBorder="1" applyAlignment="1">
      <alignment horizontal="center" vertical="center"/>
    </xf>
    <xf numFmtId="1" fontId="4" fillId="21" borderId="47" xfId="1" applyNumberFormat="1" applyFont="1" applyFill="1" applyBorder="1" applyAlignment="1">
      <alignment horizontal="center" vertical="center"/>
    </xf>
    <xf numFmtId="1" fontId="4" fillId="21" borderId="59" xfId="1" applyNumberFormat="1" applyFont="1" applyFill="1" applyBorder="1" applyAlignment="1">
      <alignment horizontal="center" vertical="center"/>
    </xf>
    <xf numFmtId="1" fontId="4" fillId="21" borderId="39" xfId="1" applyNumberFormat="1" applyFont="1" applyFill="1" applyBorder="1" applyAlignment="1">
      <alignment horizontal="center" vertical="center"/>
    </xf>
    <xf numFmtId="0" fontId="0" fillId="17" borderId="40" xfId="0" applyFont="1" applyFill="1" applyBorder="1" applyAlignment="1">
      <alignment horizontal="center" vertical="center"/>
    </xf>
    <xf numFmtId="1" fontId="4" fillId="17" borderId="19" xfId="1" applyNumberFormat="1" applyFont="1" applyFill="1" applyBorder="1" applyAlignment="1">
      <alignment horizontal="center" vertical="center"/>
    </xf>
    <xf numFmtId="1" fontId="4" fillId="17" borderId="21" xfId="1" applyNumberFormat="1" applyFont="1" applyFill="1" applyBorder="1" applyAlignment="1">
      <alignment horizontal="center" vertical="center"/>
    </xf>
    <xf numFmtId="1" fontId="4" fillId="17" borderId="2" xfId="1" applyNumberFormat="1" applyFont="1" applyFill="1" applyBorder="1" applyAlignment="1">
      <alignment horizontal="center" vertical="center"/>
    </xf>
    <xf numFmtId="1" fontId="4" fillId="17" borderId="22" xfId="1" applyNumberFormat="1" applyFont="1" applyFill="1" applyBorder="1" applyAlignment="1">
      <alignment horizontal="center" vertical="center"/>
    </xf>
    <xf numFmtId="1" fontId="0" fillId="7" borderId="20" xfId="0" applyNumberForma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7" fillId="7" borderId="16" xfId="0" quotePrefix="1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" fontId="0" fillId="6" borderId="38" xfId="0" applyNumberForma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/>
    </xf>
    <xf numFmtId="1" fontId="0" fillId="6" borderId="46" xfId="0" applyNumberFormat="1" applyFill="1" applyBorder="1" applyAlignment="1">
      <alignment horizontal="center" vertical="center"/>
    </xf>
    <xf numFmtId="1" fontId="0" fillId="6" borderId="44" xfId="0" applyNumberFormat="1" applyFill="1" applyBorder="1" applyAlignment="1">
      <alignment horizontal="center" vertical="center"/>
    </xf>
    <xf numFmtId="1" fontId="0" fillId="6" borderId="45" xfId="0" applyNumberFormat="1" applyFill="1" applyBorder="1" applyAlignment="1">
      <alignment horizontal="center" vertical="center"/>
    </xf>
    <xf numFmtId="1" fontId="0" fillId="6" borderId="58" xfId="0" applyNumberFormat="1" applyFill="1" applyBorder="1" applyAlignment="1">
      <alignment horizontal="center" vertical="center"/>
    </xf>
    <xf numFmtId="0" fontId="4" fillId="20" borderId="40" xfId="1" applyFont="1" applyFill="1" applyBorder="1" applyAlignment="1">
      <alignment horizontal="center" vertical="center"/>
    </xf>
    <xf numFmtId="1" fontId="0" fillId="7" borderId="19" xfId="0" applyNumberForma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1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1" fontId="0" fillId="20" borderId="10" xfId="0" applyNumberFormat="1" applyFont="1" applyFill="1" applyBorder="1" applyAlignment="1">
      <alignment horizontal="center" vertical="center"/>
    </xf>
    <xf numFmtId="1" fontId="0" fillId="20" borderId="12" xfId="0" applyNumberFormat="1" applyFont="1" applyFill="1" applyBorder="1" applyAlignment="1">
      <alignment horizontal="center" vertical="center"/>
    </xf>
    <xf numFmtId="1" fontId="0" fillId="20" borderId="67" xfId="0" applyNumberFormat="1" applyFont="1" applyFill="1" applyBorder="1" applyAlignment="1">
      <alignment horizontal="center" vertical="center"/>
    </xf>
    <xf numFmtId="1" fontId="0" fillId="20" borderId="9" xfId="0" applyNumberFormat="1" applyFont="1" applyFill="1" applyBorder="1" applyAlignment="1">
      <alignment horizontal="center" vertical="center"/>
    </xf>
    <xf numFmtId="1" fontId="0" fillId="20" borderId="0" xfId="0" applyNumberFormat="1" applyFont="1" applyFill="1" applyBorder="1" applyAlignment="1">
      <alignment horizontal="center" vertical="center"/>
    </xf>
    <xf numFmtId="1" fontId="0" fillId="20" borderId="63" xfId="0" applyNumberFormat="1" applyFont="1" applyFill="1" applyBorder="1" applyAlignment="1">
      <alignment horizontal="center" vertical="center"/>
    </xf>
    <xf numFmtId="1" fontId="4" fillId="17" borderId="20" xfId="1" applyNumberFormat="1" applyFont="1" applyFill="1" applyBorder="1" applyAlignment="1">
      <alignment horizontal="center" vertical="center"/>
    </xf>
    <xf numFmtId="1" fontId="4" fillId="17" borderId="23" xfId="1" applyNumberFormat="1" applyFont="1" applyFill="1" applyBorder="1" applyAlignment="1">
      <alignment horizontal="center" vertical="center"/>
    </xf>
    <xf numFmtId="1" fontId="4" fillId="17" borderId="1" xfId="1" applyNumberFormat="1" applyFont="1" applyFill="1" applyBorder="1" applyAlignment="1">
      <alignment horizontal="center" vertical="center"/>
    </xf>
    <xf numFmtId="1" fontId="4" fillId="17" borderId="36" xfId="1" applyNumberFormat="1" applyFont="1" applyFill="1" applyBorder="1" applyAlignment="1">
      <alignment horizontal="center" vertical="center"/>
    </xf>
    <xf numFmtId="1" fontId="0" fillId="20" borderId="8" xfId="0" applyNumberFormat="1" applyFont="1" applyFill="1" applyBorder="1" applyAlignment="1">
      <alignment horizontal="center" vertical="center"/>
    </xf>
    <xf numFmtId="1" fontId="0" fillId="20" borderId="11" xfId="0" applyNumberFormat="1" applyFont="1" applyFill="1" applyBorder="1" applyAlignment="1">
      <alignment horizontal="center" vertical="center"/>
    </xf>
    <xf numFmtId="1" fontId="0" fillId="20" borderId="64" xfId="0" applyNumberFormat="1" applyFont="1" applyFill="1" applyBorder="1" applyAlignment="1">
      <alignment horizontal="center" vertical="center"/>
    </xf>
    <xf numFmtId="1" fontId="0" fillId="18" borderId="65" xfId="0" applyNumberFormat="1" applyFont="1" applyFill="1" applyBorder="1" applyAlignment="1">
      <alignment horizontal="center" vertical="center"/>
    </xf>
    <xf numFmtId="1" fontId="0" fillId="18" borderId="0" xfId="0" applyNumberFormat="1" applyFont="1" applyFill="1" applyBorder="1" applyAlignment="1">
      <alignment horizontal="center" vertical="center"/>
    </xf>
    <xf numFmtId="1" fontId="0" fillId="18" borderId="63" xfId="0" applyNumberFormat="1" applyFont="1" applyFill="1" applyBorder="1" applyAlignment="1">
      <alignment horizontal="center" vertical="center"/>
    </xf>
    <xf numFmtId="1" fontId="0" fillId="18" borderId="66" xfId="0" applyNumberFormat="1" applyFont="1" applyFill="1" applyBorder="1" applyAlignment="1">
      <alignment horizontal="center" vertical="center"/>
    </xf>
    <xf numFmtId="1" fontId="0" fillId="18" borderId="12" xfId="0" applyNumberFormat="1" applyFont="1" applyFill="1" applyBorder="1" applyAlignment="1">
      <alignment horizontal="center" vertical="center"/>
    </xf>
    <xf numFmtId="1" fontId="0" fillId="18" borderId="67" xfId="0" applyNumberFormat="1" applyFon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6" borderId="61" xfId="0" applyNumberFormat="1" applyFill="1" applyBorder="1" applyAlignment="1">
      <alignment horizontal="center" vertical="center"/>
    </xf>
    <xf numFmtId="1" fontId="0" fillId="6" borderId="11" xfId="0" applyNumberFormat="1" applyFill="1" applyBorder="1" applyAlignment="1">
      <alignment horizontal="center" vertical="center"/>
    </xf>
    <xf numFmtId="1" fontId="0" fillId="6" borderId="64" xfId="0" applyNumberFormat="1" applyFill="1" applyBorder="1" applyAlignment="1">
      <alignment horizontal="center" vertical="center"/>
    </xf>
    <xf numFmtId="1" fontId="0" fillId="6" borderId="65" xfId="0" applyNumberFormat="1" applyFill="1" applyBorder="1" applyAlignment="1">
      <alignment horizontal="center" vertical="center"/>
    </xf>
    <xf numFmtId="1" fontId="0" fillId="6" borderId="0" xfId="0" applyNumberFormat="1" applyFill="1" applyBorder="1" applyAlignment="1">
      <alignment horizontal="center" vertical="center"/>
    </xf>
    <xf numFmtId="1" fontId="0" fillId="6" borderId="63" xfId="0" applyNumberFormat="1" applyFill="1" applyBorder="1" applyAlignment="1">
      <alignment horizontal="center" vertical="center"/>
    </xf>
    <xf numFmtId="1" fontId="0" fillId="6" borderId="66" xfId="0" applyNumberFormat="1" applyFill="1" applyBorder="1" applyAlignment="1">
      <alignment horizontal="center" vertical="center"/>
    </xf>
    <xf numFmtId="1" fontId="0" fillId="6" borderId="12" xfId="0" applyNumberFormat="1" applyFill="1" applyBorder="1" applyAlignment="1">
      <alignment horizontal="center" vertical="center"/>
    </xf>
    <xf numFmtId="1" fontId="0" fillId="6" borderId="67" xfId="0" applyNumberFormat="1" applyFill="1" applyBorder="1" applyAlignment="1">
      <alignment horizontal="center" vertical="center"/>
    </xf>
    <xf numFmtId="1" fontId="0" fillId="6" borderId="39" xfId="0" applyNumberFormat="1" applyFill="1" applyBorder="1" applyAlignment="1">
      <alignment horizontal="center" vertical="center"/>
    </xf>
    <xf numFmtId="1" fontId="0" fillId="6" borderId="47" xfId="0" applyNumberFormat="1" applyFill="1" applyBorder="1" applyAlignment="1">
      <alignment horizontal="center" vertical="center"/>
    </xf>
    <xf numFmtId="1" fontId="0" fillId="6" borderId="55" xfId="0" applyNumberFormat="1" applyFill="1" applyBorder="1" applyAlignment="1">
      <alignment horizontal="center" vertical="center"/>
    </xf>
    <xf numFmtId="1" fontId="0" fillId="6" borderId="59" xfId="0" applyNumberFormat="1" applyFill="1" applyBorder="1" applyAlignment="1">
      <alignment horizontal="center" vertical="center"/>
    </xf>
    <xf numFmtId="1" fontId="0" fillId="7" borderId="61" xfId="0" applyNumberFormat="1" applyFill="1" applyBorder="1" applyAlignment="1">
      <alignment horizontal="center" vertical="center"/>
    </xf>
    <xf numFmtId="1" fontId="0" fillId="7" borderId="64" xfId="0" applyNumberFormat="1" applyFill="1" applyBorder="1" applyAlignment="1">
      <alignment horizontal="center" vertical="center"/>
    </xf>
    <xf numFmtId="1" fontId="0" fillId="7" borderId="65" xfId="0" applyNumberFormat="1" applyFill="1" applyBorder="1" applyAlignment="1">
      <alignment horizontal="center" vertical="center"/>
    </xf>
    <xf numFmtId="1" fontId="0" fillId="7" borderId="63" xfId="0" applyNumberFormat="1" applyFill="1" applyBorder="1" applyAlignment="1">
      <alignment horizontal="center" vertical="center"/>
    </xf>
    <xf numFmtId="1" fontId="0" fillId="7" borderId="66" xfId="0" applyNumberFormat="1" applyFill="1" applyBorder="1" applyAlignment="1">
      <alignment horizontal="center" vertical="center"/>
    </xf>
    <xf numFmtId="1" fontId="0" fillId="7" borderId="67" xfId="0" applyNumberFormat="1" applyFill="1" applyBorder="1" applyAlignment="1">
      <alignment horizontal="center" vertical="center"/>
    </xf>
    <xf numFmtId="1" fontId="0" fillId="7" borderId="34" xfId="0" applyNumberFormat="1" applyFill="1" applyBorder="1" applyAlignment="1">
      <alignment horizontal="center" vertical="center"/>
    </xf>
    <xf numFmtId="1" fontId="0" fillId="7" borderId="32" xfId="0" applyNumberFormat="1" applyFill="1" applyBorder="1" applyAlignment="1">
      <alignment horizontal="center" vertical="center"/>
    </xf>
    <xf numFmtId="1" fontId="0" fillId="7" borderId="33" xfId="0" applyNumberFormat="1" applyFill="1" applyBorder="1" applyAlignment="1">
      <alignment horizontal="center" vertical="center"/>
    </xf>
    <xf numFmtId="1" fontId="0" fillId="7" borderId="35" xfId="0" applyNumberFormat="1" applyFill="1" applyBorder="1" applyAlignment="1">
      <alignment horizontal="center" vertical="center"/>
    </xf>
    <xf numFmtId="0" fontId="4" fillId="21" borderId="40" xfId="0" applyFont="1" applyFill="1" applyBorder="1" applyAlignment="1">
      <alignment horizontal="center" vertical="center"/>
    </xf>
    <xf numFmtId="1" fontId="0" fillId="7" borderId="21" xfId="0" applyNumberFormat="1" applyFill="1" applyBorder="1" applyAlignment="1">
      <alignment horizontal="center" vertical="center"/>
    </xf>
    <xf numFmtId="1" fontId="0" fillId="7" borderId="22" xfId="0" applyNumberFormat="1" applyFill="1" applyBorder="1" applyAlignment="1">
      <alignment horizontal="center" vertical="center"/>
    </xf>
    <xf numFmtId="1" fontId="0" fillId="7" borderId="23" xfId="0" applyNumberFormat="1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1" fontId="0" fillId="7" borderId="55" xfId="0" applyNumberFormat="1" applyFill="1" applyBorder="1" applyAlignment="1">
      <alignment horizontal="center" vertical="center"/>
    </xf>
    <xf numFmtId="1" fontId="0" fillId="7" borderId="39" xfId="0" applyNumberFormat="1" applyFill="1" applyBorder="1" applyAlignment="1">
      <alignment horizontal="center" vertical="center"/>
    </xf>
    <xf numFmtId="1" fontId="0" fillId="7" borderId="47" xfId="0" applyNumberFormat="1" applyFill="1" applyBorder="1" applyAlignment="1">
      <alignment horizontal="center" vertical="center"/>
    </xf>
    <xf numFmtId="1" fontId="0" fillId="7" borderId="59" xfId="0" applyNumberFormat="1" applyFill="1" applyBorder="1" applyAlignment="1">
      <alignment horizontal="center" vertical="center"/>
    </xf>
    <xf numFmtId="0" fontId="16" fillId="22" borderId="8" xfId="0" applyFont="1" applyFill="1" applyBorder="1" applyAlignment="1">
      <alignment horizontal="center" vertical="center"/>
    </xf>
    <xf numFmtId="0" fontId="16" fillId="22" borderId="9" xfId="0" applyFont="1" applyFill="1" applyBorder="1" applyAlignment="1">
      <alignment horizontal="center" vertical="center"/>
    </xf>
    <xf numFmtId="0" fontId="16" fillId="22" borderId="10" xfId="0" applyFont="1" applyFill="1" applyBorder="1" applyAlignment="1">
      <alignment horizontal="center" vertical="center"/>
    </xf>
    <xf numFmtId="0" fontId="16" fillId="22" borderId="11" xfId="0" applyFont="1" applyFill="1" applyBorder="1" applyAlignment="1">
      <alignment horizontal="center" vertical="center"/>
    </xf>
    <xf numFmtId="0" fontId="16" fillId="22" borderId="0" xfId="0" applyFont="1" applyFill="1" applyBorder="1" applyAlignment="1">
      <alignment horizontal="center" vertical="center"/>
    </xf>
    <xf numFmtId="0" fontId="16" fillId="22" borderId="12" xfId="0" applyFont="1" applyFill="1" applyBorder="1" applyAlignment="1">
      <alignment horizontal="center" vertical="center"/>
    </xf>
    <xf numFmtId="0" fontId="16" fillId="22" borderId="13" xfId="0" applyFont="1" applyFill="1" applyBorder="1" applyAlignment="1">
      <alignment horizontal="center" vertical="center"/>
    </xf>
    <xf numFmtId="0" fontId="16" fillId="22" borderId="14" xfId="0" applyFont="1" applyFill="1" applyBorder="1" applyAlignment="1">
      <alignment horizontal="center" vertical="center"/>
    </xf>
    <xf numFmtId="0" fontId="16" fillId="22" borderId="15" xfId="0" applyFont="1" applyFill="1" applyBorder="1" applyAlignment="1">
      <alignment horizontal="center" vertical="center"/>
    </xf>
    <xf numFmtId="14" fontId="4" fillId="0" borderId="39" xfId="0" applyNumberFormat="1" applyFont="1" applyFill="1" applyBorder="1" applyAlignment="1">
      <alignment horizontal="center"/>
    </xf>
    <xf numFmtId="20" fontId="4" fillId="0" borderId="47" xfId="0" applyNumberFormat="1" applyFont="1" applyFill="1" applyBorder="1"/>
    <xf numFmtId="0" fontId="4" fillId="0" borderId="47" xfId="0" applyFont="1" applyFill="1" applyBorder="1"/>
    <xf numFmtId="0" fontId="4" fillId="0" borderId="55" xfId="0" applyFont="1" applyFill="1" applyBorder="1"/>
    <xf numFmtId="0" fontId="26" fillId="0" borderId="2" xfId="1" applyFont="1" applyFill="1" applyBorder="1" applyAlignment="1">
      <alignment shrinkToFit="1"/>
    </xf>
    <xf numFmtId="20" fontId="26" fillId="0" borderId="2" xfId="1" applyNumberFormat="1" applyFont="1" applyFill="1" applyBorder="1" applyAlignment="1">
      <alignment shrinkToFit="1"/>
    </xf>
    <xf numFmtId="20" fontId="27" fillId="0" borderId="2" xfId="0" applyNumberFormat="1" applyFont="1" applyFill="1" applyBorder="1" applyAlignment="1">
      <alignment shrinkToFit="1"/>
    </xf>
    <xf numFmtId="20" fontId="26" fillId="0" borderId="3" xfId="1" applyNumberFormat="1" applyFont="1" applyFill="1" applyBorder="1" applyAlignment="1">
      <alignment shrinkToFit="1"/>
    </xf>
    <xf numFmtId="20" fontId="26" fillId="0" borderId="47" xfId="1" applyNumberFormat="1" applyFont="1" applyFill="1" applyBorder="1" applyAlignment="1">
      <alignment shrinkToFit="1"/>
    </xf>
    <xf numFmtId="20" fontId="26" fillId="0" borderId="22" xfId="1" applyNumberFormat="1" applyFont="1" applyFill="1" applyBorder="1" applyAlignment="1">
      <alignment shrinkToFit="1"/>
    </xf>
    <xf numFmtId="0" fontId="25" fillId="0" borderId="0" xfId="0" applyFont="1"/>
    <xf numFmtId="0" fontId="26" fillId="0" borderId="3" xfId="1" applyFont="1" applyFill="1" applyBorder="1" applyAlignment="1">
      <alignment shrinkToFit="1"/>
    </xf>
    <xf numFmtId="0" fontId="28" fillId="0" borderId="2" xfId="1" applyFont="1" applyFill="1" applyBorder="1" applyAlignment="1">
      <alignment shrinkToFit="1"/>
    </xf>
    <xf numFmtId="0" fontId="29" fillId="0" borderId="0" xfId="0" applyFont="1"/>
    <xf numFmtId="0" fontId="6" fillId="0" borderId="33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left" shrinkToFit="1"/>
    </xf>
    <xf numFmtId="0" fontId="6" fillId="0" borderId="34" xfId="0" applyFont="1" applyFill="1" applyBorder="1" applyAlignment="1">
      <alignment horizontal="left"/>
    </xf>
    <xf numFmtId="14" fontId="4" fillId="0" borderId="19" xfId="0" applyNumberFormat="1" applyFont="1" applyFill="1" applyBorder="1"/>
    <xf numFmtId="14" fontId="4" fillId="0" borderId="37" xfId="0" applyNumberFormat="1" applyFont="1" applyFill="1" applyBorder="1"/>
    <xf numFmtId="14" fontId="4" fillId="0" borderId="21" xfId="0" applyNumberFormat="1" applyFont="1" applyFill="1" applyBorder="1"/>
    <xf numFmtId="0" fontId="26" fillId="0" borderId="22" xfId="1" applyFont="1" applyFill="1" applyBorder="1" applyAlignment="1">
      <alignment shrinkToFit="1"/>
    </xf>
  </cellXfs>
  <cellStyles count="3">
    <cellStyle name="Hiperligação" xfId="1" builtinId="8"/>
    <cellStyle name="Normal" xfId="0" builtinId="0"/>
    <cellStyle name="Percentagem" xfId="2" builtinId="5"/>
  </cellStyles>
  <dxfs count="230">
    <dxf>
      <numFmt numFmtId="164" formatCode="0.0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left style="medium">
          <color indexed="64"/>
        </left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>
        <left/>
        <right/>
        <top style="thin">
          <color theme="0"/>
        </top>
        <bottom style="thin">
          <color theme="0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theme="10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4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/>
      </border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</border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1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900">
                <a:solidFill>
                  <a:schemeClr val="tx1"/>
                </a:solidFill>
              </a:rPr>
              <a:t>Distribuição mensal de </a:t>
            </a:r>
            <a:r>
              <a:rPr lang="en-US" sz="900" baseline="0">
                <a:solidFill>
                  <a:schemeClr val="tx1"/>
                </a:solidFill>
              </a:rPr>
              <a:t>PUBLICAÇÕES </a:t>
            </a:r>
            <a:r>
              <a:rPr lang="en-US" sz="900">
                <a:solidFill>
                  <a:schemeClr val="tx1"/>
                </a:solidFill>
              </a:rPr>
              <a:t>por</a:t>
            </a:r>
            <a:r>
              <a:rPr lang="en-US" sz="900" baseline="0">
                <a:solidFill>
                  <a:schemeClr val="tx1"/>
                </a:solidFill>
              </a:rPr>
              <a:t> </a:t>
            </a:r>
            <a:r>
              <a:rPr lang="en-US" sz="900">
                <a:solidFill>
                  <a:schemeClr val="tx1"/>
                </a:solidFill>
              </a:rPr>
              <a:t>TEMA</a:t>
            </a:r>
          </a:p>
        </c:rich>
      </c:tx>
      <c:layout>
        <c:manualLayout>
          <c:xMode val="edge"/>
          <c:yMode val="edge"/>
          <c:x val="0.43274407521123615"/>
          <c:y val="3.0283468966685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'Estratégia - TEMA'!$C$10</c:f>
              <c:strCache>
                <c:ptCount val="1"/>
                <c:pt idx="0">
                  <c:v>Novembro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TEMA'!$B$11:$B$42</c:f>
              <c:strCache>
                <c:ptCount val="32"/>
                <c:pt idx="0">
                  <c:v>Atividades PE</c:v>
                </c:pt>
                <c:pt idx="1">
                  <c:v>Ambiente</c:v>
                </c:pt>
                <c:pt idx="2">
                  <c:v>Informações Úteis</c:v>
                </c:pt>
                <c:pt idx="3">
                  <c:v>Refugiados</c:v>
                </c:pt>
                <c:pt idx="4">
                  <c:v>Terrorismo</c:v>
                </c:pt>
                <c:pt idx="5">
                  <c:v>Efemérides</c:v>
                </c:pt>
                <c:pt idx="6">
                  <c:v>Faits-Divers</c:v>
                </c:pt>
                <c:pt idx="7">
                  <c:v>Multilinguismo</c:v>
                </c:pt>
                <c:pt idx="8">
                  <c:v>Direitos Humanos</c:v>
                </c:pt>
                <c:pt idx="9">
                  <c:v>Passatempos</c:v>
                </c:pt>
                <c:pt idx="10">
                  <c:v>Economia</c:v>
                </c:pt>
                <c:pt idx="11">
                  <c:v>Redes Sociais</c:v>
                </c:pt>
                <c:pt idx="12">
                  <c:v>Segurança Online</c:v>
                </c:pt>
                <c:pt idx="13">
                  <c:v>TTIP</c:v>
                </c:pt>
                <c:pt idx="14">
                  <c:v>Juventude</c:v>
                </c:pt>
                <c:pt idx="15">
                  <c:v>Saúde</c:v>
                </c:pt>
                <c:pt idx="16">
                  <c:v>Segurança</c:v>
                </c:pt>
                <c:pt idx="17">
                  <c:v>Cultura</c:v>
                </c:pt>
                <c:pt idx="18">
                  <c:v>Presidência Holandesa</c:v>
                </c:pt>
                <c:pt idx="19">
                  <c:v>Raif Badawi</c:v>
                </c:pt>
                <c:pt idx="20">
                  <c:v>Relações EM</c:v>
                </c:pt>
                <c:pt idx="21">
                  <c:v>Brexit</c:v>
                </c:pt>
                <c:pt idx="22">
                  <c:v>D&amp;C</c:v>
                </c:pt>
                <c:pt idx="23">
                  <c:v>Multiculturalismo</c:v>
                </c:pt>
                <c:pt idx="24">
                  <c:v>Outros</c:v>
                </c:pt>
                <c:pt idx="25">
                  <c:v>Relações ExtraUE</c:v>
                </c:pt>
                <c:pt idx="26">
                  <c:v>TiSA</c:v>
                </c:pt>
                <c:pt idx="27">
                  <c:v>Energia</c:v>
                </c:pt>
                <c:pt idx="28">
                  <c:v>Financiamento Europeu</c:v>
                </c:pt>
                <c:pt idx="29">
                  <c:v>Presidente PE</c:v>
                </c:pt>
                <c:pt idx="30">
                  <c:v>Adesão Turquia</c:v>
                </c:pt>
                <c:pt idx="31">
                  <c:v>Ciência</c:v>
                </c:pt>
              </c:strCache>
            </c:strRef>
          </c:cat>
          <c:val>
            <c:numRef>
              <c:f>'Estratégia - TEMA'!$C$11:$C$42</c:f>
              <c:numCache>
                <c:formatCode>General</c:formatCode>
                <c:ptCount val="32"/>
                <c:pt idx="0">
                  <c:v>9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12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2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F-4D53-98D6-CA9017C5159E}"/>
            </c:ext>
          </c:extLst>
        </c:ser>
        <c:ser>
          <c:idx val="1"/>
          <c:order val="1"/>
          <c:tx>
            <c:strRef>
              <c:f>'Estratégia - TEMA'!$D$10</c:f>
              <c:strCache>
                <c:ptCount val="1"/>
                <c:pt idx="0">
                  <c:v>Dezembro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TEMA'!$B$11:$B$42</c:f>
              <c:strCache>
                <c:ptCount val="32"/>
                <c:pt idx="0">
                  <c:v>Atividades PE</c:v>
                </c:pt>
                <c:pt idx="1">
                  <c:v>Ambiente</c:v>
                </c:pt>
                <c:pt idx="2">
                  <c:v>Informações Úteis</c:v>
                </c:pt>
                <c:pt idx="3">
                  <c:v>Refugiados</c:v>
                </c:pt>
                <c:pt idx="4">
                  <c:v>Terrorismo</c:v>
                </c:pt>
                <c:pt idx="5">
                  <c:v>Efemérides</c:v>
                </c:pt>
                <c:pt idx="6">
                  <c:v>Faits-Divers</c:v>
                </c:pt>
                <c:pt idx="7">
                  <c:v>Multilinguismo</c:v>
                </c:pt>
                <c:pt idx="8">
                  <c:v>Direitos Humanos</c:v>
                </c:pt>
                <c:pt idx="9">
                  <c:v>Passatempos</c:v>
                </c:pt>
                <c:pt idx="10">
                  <c:v>Economia</c:v>
                </c:pt>
                <c:pt idx="11">
                  <c:v>Redes Sociais</c:v>
                </c:pt>
                <c:pt idx="12">
                  <c:v>Segurança Online</c:v>
                </c:pt>
                <c:pt idx="13">
                  <c:v>TTIP</c:v>
                </c:pt>
                <c:pt idx="14">
                  <c:v>Juventude</c:v>
                </c:pt>
                <c:pt idx="15">
                  <c:v>Saúde</c:v>
                </c:pt>
                <c:pt idx="16">
                  <c:v>Segurança</c:v>
                </c:pt>
                <c:pt idx="17">
                  <c:v>Cultura</c:v>
                </c:pt>
                <c:pt idx="18">
                  <c:v>Presidência Holandesa</c:v>
                </c:pt>
                <c:pt idx="19">
                  <c:v>Raif Badawi</c:v>
                </c:pt>
                <c:pt idx="20">
                  <c:v>Relações EM</c:v>
                </c:pt>
                <c:pt idx="21">
                  <c:v>Brexit</c:v>
                </c:pt>
                <c:pt idx="22">
                  <c:v>D&amp;C</c:v>
                </c:pt>
                <c:pt idx="23">
                  <c:v>Multiculturalismo</c:v>
                </c:pt>
                <c:pt idx="24">
                  <c:v>Outros</c:v>
                </c:pt>
                <c:pt idx="25">
                  <c:v>Relações ExtraUE</c:v>
                </c:pt>
                <c:pt idx="26">
                  <c:v>TiSA</c:v>
                </c:pt>
                <c:pt idx="27">
                  <c:v>Energia</c:v>
                </c:pt>
                <c:pt idx="28">
                  <c:v>Financiamento Europeu</c:v>
                </c:pt>
                <c:pt idx="29">
                  <c:v>Presidente PE</c:v>
                </c:pt>
                <c:pt idx="30">
                  <c:v>Adesão Turquia</c:v>
                </c:pt>
                <c:pt idx="31">
                  <c:v>Ciência</c:v>
                </c:pt>
              </c:strCache>
            </c:strRef>
          </c:cat>
          <c:val>
            <c:numRef>
              <c:f>'Estratégia - TEMA'!$D$11:$D$42</c:f>
              <c:numCache>
                <c:formatCode>General</c:formatCode>
                <c:ptCount val="32"/>
                <c:pt idx="0">
                  <c:v>5</c:v>
                </c:pt>
                <c:pt idx="1">
                  <c:v>11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8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F-4D53-98D6-CA9017C5159E}"/>
            </c:ext>
          </c:extLst>
        </c:ser>
        <c:ser>
          <c:idx val="2"/>
          <c:order val="2"/>
          <c:tx>
            <c:strRef>
              <c:f>'Estratégia - TEMA'!$E$10</c:f>
              <c:strCache>
                <c:ptCount val="1"/>
                <c:pt idx="0">
                  <c:v>Janeiro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TEMA'!$B$11:$B$42</c:f>
              <c:strCache>
                <c:ptCount val="32"/>
                <c:pt idx="0">
                  <c:v>Atividades PE</c:v>
                </c:pt>
                <c:pt idx="1">
                  <c:v>Ambiente</c:v>
                </c:pt>
                <c:pt idx="2">
                  <c:v>Informações Úteis</c:v>
                </c:pt>
                <c:pt idx="3">
                  <c:v>Refugiados</c:v>
                </c:pt>
                <c:pt idx="4">
                  <c:v>Terrorismo</c:v>
                </c:pt>
                <c:pt idx="5">
                  <c:v>Efemérides</c:v>
                </c:pt>
                <c:pt idx="6">
                  <c:v>Faits-Divers</c:v>
                </c:pt>
                <c:pt idx="7">
                  <c:v>Multilinguismo</c:v>
                </c:pt>
                <c:pt idx="8">
                  <c:v>Direitos Humanos</c:v>
                </c:pt>
                <c:pt idx="9">
                  <c:v>Passatempos</c:v>
                </c:pt>
                <c:pt idx="10">
                  <c:v>Economia</c:v>
                </c:pt>
                <c:pt idx="11">
                  <c:v>Redes Sociais</c:v>
                </c:pt>
                <c:pt idx="12">
                  <c:v>Segurança Online</c:v>
                </c:pt>
                <c:pt idx="13">
                  <c:v>TTIP</c:v>
                </c:pt>
                <c:pt idx="14">
                  <c:v>Juventude</c:v>
                </c:pt>
                <c:pt idx="15">
                  <c:v>Saúde</c:v>
                </c:pt>
                <c:pt idx="16">
                  <c:v>Segurança</c:v>
                </c:pt>
                <c:pt idx="17">
                  <c:v>Cultura</c:v>
                </c:pt>
                <c:pt idx="18">
                  <c:v>Presidência Holandesa</c:v>
                </c:pt>
                <c:pt idx="19">
                  <c:v>Raif Badawi</c:v>
                </c:pt>
                <c:pt idx="20">
                  <c:v>Relações EM</c:v>
                </c:pt>
                <c:pt idx="21">
                  <c:v>Brexit</c:v>
                </c:pt>
                <c:pt idx="22">
                  <c:v>D&amp;C</c:v>
                </c:pt>
                <c:pt idx="23">
                  <c:v>Multiculturalismo</c:v>
                </c:pt>
                <c:pt idx="24">
                  <c:v>Outros</c:v>
                </c:pt>
                <c:pt idx="25">
                  <c:v>Relações ExtraUE</c:v>
                </c:pt>
                <c:pt idx="26">
                  <c:v>TiSA</c:v>
                </c:pt>
                <c:pt idx="27">
                  <c:v>Energia</c:v>
                </c:pt>
                <c:pt idx="28">
                  <c:v>Financiamento Europeu</c:v>
                </c:pt>
                <c:pt idx="29">
                  <c:v>Presidente PE</c:v>
                </c:pt>
                <c:pt idx="30">
                  <c:v>Adesão Turquia</c:v>
                </c:pt>
                <c:pt idx="31">
                  <c:v>Ciência</c:v>
                </c:pt>
              </c:strCache>
            </c:strRef>
          </c:cat>
          <c:val>
            <c:numRef>
              <c:f>'Estratégia - TEMA'!$E$11:$E$42</c:f>
              <c:numCache>
                <c:formatCode>General</c:formatCode>
                <c:ptCount val="32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3F-4D53-98D6-CA9017C5159E}"/>
            </c:ext>
          </c:extLst>
        </c:ser>
        <c:ser>
          <c:idx val="3"/>
          <c:order val="3"/>
          <c:tx>
            <c:strRef>
              <c:f>'Estratégia - TEMA'!$F$10</c:f>
              <c:strCache>
                <c:ptCount val="1"/>
                <c:pt idx="0">
                  <c:v>Fevereiro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TEMA'!$B$11:$B$42</c:f>
              <c:strCache>
                <c:ptCount val="32"/>
                <c:pt idx="0">
                  <c:v>Atividades PE</c:v>
                </c:pt>
                <c:pt idx="1">
                  <c:v>Ambiente</c:v>
                </c:pt>
                <c:pt idx="2">
                  <c:v>Informações Úteis</c:v>
                </c:pt>
                <c:pt idx="3">
                  <c:v>Refugiados</c:v>
                </c:pt>
                <c:pt idx="4">
                  <c:v>Terrorismo</c:v>
                </c:pt>
                <c:pt idx="5">
                  <c:v>Efemérides</c:v>
                </c:pt>
                <c:pt idx="6">
                  <c:v>Faits-Divers</c:v>
                </c:pt>
                <c:pt idx="7">
                  <c:v>Multilinguismo</c:v>
                </c:pt>
                <c:pt idx="8">
                  <c:v>Direitos Humanos</c:v>
                </c:pt>
                <c:pt idx="9">
                  <c:v>Passatempos</c:v>
                </c:pt>
                <c:pt idx="10">
                  <c:v>Economia</c:v>
                </c:pt>
                <c:pt idx="11">
                  <c:v>Redes Sociais</c:v>
                </c:pt>
                <c:pt idx="12">
                  <c:v>Segurança Online</c:v>
                </c:pt>
                <c:pt idx="13">
                  <c:v>TTIP</c:v>
                </c:pt>
                <c:pt idx="14">
                  <c:v>Juventude</c:v>
                </c:pt>
                <c:pt idx="15">
                  <c:v>Saúde</c:v>
                </c:pt>
                <c:pt idx="16">
                  <c:v>Segurança</c:v>
                </c:pt>
                <c:pt idx="17">
                  <c:v>Cultura</c:v>
                </c:pt>
                <c:pt idx="18">
                  <c:v>Presidência Holandesa</c:v>
                </c:pt>
                <c:pt idx="19">
                  <c:v>Raif Badawi</c:v>
                </c:pt>
                <c:pt idx="20">
                  <c:v>Relações EM</c:v>
                </c:pt>
                <c:pt idx="21">
                  <c:v>Brexit</c:v>
                </c:pt>
                <c:pt idx="22">
                  <c:v>D&amp;C</c:v>
                </c:pt>
                <c:pt idx="23">
                  <c:v>Multiculturalismo</c:v>
                </c:pt>
                <c:pt idx="24">
                  <c:v>Outros</c:v>
                </c:pt>
                <c:pt idx="25">
                  <c:v>Relações ExtraUE</c:v>
                </c:pt>
                <c:pt idx="26">
                  <c:v>TiSA</c:v>
                </c:pt>
                <c:pt idx="27">
                  <c:v>Energia</c:v>
                </c:pt>
                <c:pt idx="28">
                  <c:v>Financiamento Europeu</c:v>
                </c:pt>
                <c:pt idx="29">
                  <c:v>Presidente PE</c:v>
                </c:pt>
                <c:pt idx="30">
                  <c:v>Adesão Turquia</c:v>
                </c:pt>
                <c:pt idx="31">
                  <c:v>Ciência</c:v>
                </c:pt>
              </c:strCache>
            </c:strRef>
          </c:cat>
          <c:val>
            <c:numRef>
              <c:f>'Estratégia - TEMA'!$F$11:$F$42</c:f>
              <c:numCache>
                <c:formatCode>General</c:formatCode>
                <c:ptCount val="32"/>
                <c:pt idx="0">
                  <c:v>10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3F-4D53-98D6-CA9017C51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06482416"/>
        <c:axId val="80648404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'Estratégia - TEMA'!$G$10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'Estratégia - TEMA'!$B$11:$B$42</c15:sqref>
                        </c15:formulaRef>
                      </c:ext>
                    </c:extLst>
                    <c:strCache>
                      <c:ptCount val="32"/>
                      <c:pt idx="0">
                        <c:v>Atividades PE</c:v>
                      </c:pt>
                      <c:pt idx="1">
                        <c:v>Ambiente</c:v>
                      </c:pt>
                      <c:pt idx="2">
                        <c:v>Informações Úteis</c:v>
                      </c:pt>
                      <c:pt idx="3">
                        <c:v>Refugiados</c:v>
                      </c:pt>
                      <c:pt idx="4">
                        <c:v>Terrorismo</c:v>
                      </c:pt>
                      <c:pt idx="5">
                        <c:v>Efemérides</c:v>
                      </c:pt>
                      <c:pt idx="6">
                        <c:v>Faits-Divers</c:v>
                      </c:pt>
                      <c:pt idx="7">
                        <c:v>Multilinguismo</c:v>
                      </c:pt>
                      <c:pt idx="8">
                        <c:v>Direitos Humanos</c:v>
                      </c:pt>
                      <c:pt idx="9">
                        <c:v>Passatempos</c:v>
                      </c:pt>
                      <c:pt idx="10">
                        <c:v>Economia</c:v>
                      </c:pt>
                      <c:pt idx="11">
                        <c:v>Redes Sociais</c:v>
                      </c:pt>
                      <c:pt idx="12">
                        <c:v>Segurança Online</c:v>
                      </c:pt>
                      <c:pt idx="13">
                        <c:v>TTIP</c:v>
                      </c:pt>
                      <c:pt idx="14">
                        <c:v>Juventude</c:v>
                      </c:pt>
                      <c:pt idx="15">
                        <c:v>Saúde</c:v>
                      </c:pt>
                      <c:pt idx="16">
                        <c:v>Segurança</c:v>
                      </c:pt>
                      <c:pt idx="17">
                        <c:v>Cultura</c:v>
                      </c:pt>
                      <c:pt idx="18">
                        <c:v>Presidência Holandesa</c:v>
                      </c:pt>
                      <c:pt idx="19">
                        <c:v>Raif Badawi</c:v>
                      </c:pt>
                      <c:pt idx="20">
                        <c:v>Relações EM</c:v>
                      </c:pt>
                      <c:pt idx="21">
                        <c:v>Brexit</c:v>
                      </c:pt>
                      <c:pt idx="22">
                        <c:v>D&amp;C</c:v>
                      </c:pt>
                      <c:pt idx="23">
                        <c:v>Multiculturalismo</c:v>
                      </c:pt>
                      <c:pt idx="24">
                        <c:v>Outros</c:v>
                      </c:pt>
                      <c:pt idx="25">
                        <c:v>Relações ExtraUE</c:v>
                      </c:pt>
                      <c:pt idx="26">
                        <c:v>TiSA</c:v>
                      </c:pt>
                      <c:pt idx="27">
                        <c:v>Energia</c:v>
                      </c:pt>
                      <c:pt idx="28">
                        <c:v>Financiamento Europeu</c:v>
                      </c:pt>
                      <c:pt idx="29">
                        <c:v>Presidente PE</c:v>
                      </c:pt>
                      <c:pt idx="30">
                        <c:v>Adesão Turquia</c:v>
                      </c:pt>
                      <c:pt idx="31">
                        <c:v>Ciência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'Estratégia - TEMA'!$G$11:$G$42</c15:sqref>
                        </c15:formulaRef>
                      </c:ext>
                    </c:extLst>
                    <c:numCache>
                      <c:formatCode>General</c:formatCode>
                      <c:ptCount val="32"/>
                      <c:pt idx="0">
                        <c:v>37</c:v>
                      </c:pt>
                      <c:pt idx="1">
                        <c:v>19</c:v>
                      </c:pt>
                      <c:pt idx="2">
                        <c:v>19</c:v>
                      </c:pt>
                      <c:pt idx="3">
                        <c:v>17</c:v>
                      </c:pt>
                      <c:pt idx="4">
                        <c:v>17</c:v>
                      </c:pt>
                      <c:pt idx="5">
                        <c:v>14</c:v>
                      </c:pt>
                      <c:pt idx="6">
                        <c:v>13</c:v>
                      </c:pt>
                      <c:pt idx="7">
                        <c:v>10</c:v>
                      </c:pt>
                      <c:pt idx="8">
                        <c:v>9</c:v>
                      </c:pt>
                      <c:pt idx="9">
                        <c:v>8</c:v>
                      </c:pt>
                      <c:pt idx="10">
                        <c:v>7</c:v>
                      </c:pt>
                      <c:pt idx="11">
                        <c:v>7</c:v>
                      </c:pt>
                      <c:pt idx="12">
                        <c:v>7</c:v>
                      </c:pt>
                      <c:pt idx="13">
                        <c:v>7</c:v>
                      </c:pt>
                      <c:pt idx="14">
                        <c:v>6</c:v>
                      </c:pt>
                      <c:pt idx="15">
                        <c:v>6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4</c:v>
                      </c:pt>
                      <c:pt idx="20">
                        <c:v>4</c:v>
                      </c:pt>
                      <c:pt idx="21">
                        <c:v>3</c:v>
                      </c:pt>
                      <c:pt idx="22">
                        <c:v>3</c:v>
                      </c:pt>
                      <c:pt idx="23">
                        <c:v>3</c:v>
                      </c:pt>
                      <c:pt idx="24">
                        <c:v>3</c:v>
                      </c:pt>
                      <c:pt idx="25">
                        <c:v>3</c:v>
                      </c:pt>
                      <c:pt idx="26">
                        <c:v>3</c:v>
                      </c:pt>
                      <c:pt idx="27">
                        <c:v>2</c:v>
                      </c:pt>
                      <c:pt idx="28">
                        <c:v>2</c:v>
                      </c:pt>
                      <c:pt idx="29">
                        <c:v>2</c:v>
                      </c:pt>
                      <c:pt idx="30">
                        <c:v>1</c:v>
                      </c:pt>
                      <c:pt idx="31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43F-4D53-98D6-CA9017C5159E}"/>
                  </c:ext>
                </c:extLst>
              </c15:ser>
            </c15:filteredBarSeries>
          </c:ext>
        </c:extLst>
      </c:barChart>
      <c:catAx>
        <c:axId val="806482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TEMA</a:t>
                </a:r>
              </a:p>
            </c:rich>
          </c:tx>
          <c:layout>
            <c:manualLayout>
              <c:xMode val="edge"/>
              <c:yMode val="edge"/>
              <c:x val="0.50278642721219868"/>
              <c:y val="0.843747596066620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484048"/>
        <c:crosses val="autoZero"/>
        <c:auto val="1"/>
        <c:lblAlgn val="ctr"/>
        <c:lblOffset val="100"/>
        <c:noMultiLvlLbl val="0"/>
      </c:catAx>
      <c:valAx>
        <c:axId val="80648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PUBLICAÇÕES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48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Tema em Novembro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TEMA'!$O$11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TEMA'!$N$12:$N$29</c:f>
              <c:strCache>
                <c:ptCount val="18"/>
                <c:pt idx="0">
                  <c:v>Adesão Turquia</c:v>
                </c:pt>
                <c:pt idx="1">
                  <c:v>Ambiente</c:v>
                </c:pt>
                <c:pt idx="2">
                  <c:v>Atividades PE</c:v>
                </c:pt>
                <c:pt idx="3">
                  <c:v>Brexit</c:v>
                </c:pt>
                <c:pt idx="4">
                  <c:v>Cultura</c:v>
                </c:pt>
                <c:pt idx="5">
                  <c:v>DH</c:v>
                </c:pt>
                <c:pt idx="6">
                  <c:v>Economia</c:v>
                </c:pt>
                <c:pt idx="7">
                  <c:v>Efemérides</c:v>
                </c:pt>
                <c:pt idx="8">
                  <c:v>Energia</c:v>
                </c:pt>
                <c:pt idx="9">
                  <c:v>Financiamento Europeu</c:v>
                </c:pt>
                <c:pt idx="10">
                  <c:v>Faits-Divers</c:v>
                </c:pt>
                <c:pt idx="11">
                  <c:v>Informações Úteis</c:v>
                </c:pt>
                <c:pt idx="12">
                  <c:v>Multilinguismo</c:v>
                </c:pt>
                <c:pt idx="13">
                  <c:v>Outros</c:v>
                </c:pt>
                <c:pt idx="14">
                  <c:v>Passatempos</c:v>
                </c:pt>
                <c:pt idx="15">
                  <c:v>Redes Sociais</c:v>
                </c:pt>
                <c:pt idx="16">
                  <c:v>Refugiados</c:v>
                </c:pt>
                <c:pt idx="17">
                  <c:v>Terrorismo</c:v>
                </c:pt>
              </c:strCache>
            </c:strRef>
          </c:cat>
          <c:val>
            <c:numRef>
              <c:f>'Interação - TEMA'!$O$12:$O$29</c:f>
              <c:numCache>
                <c:formatCode>0</c:formatCode>
                <c:ptCount val="18"/>
                <c:pt idx="0">
                  <c:v>360</c:v>
                </c:pt>
                <c:pt idx="1">
                  <c:v>970</c:v>
                </c:pt>
                <c:pt idx="2">
                  <c:v>655.88888888888891</c:v>
                </c:pt>
                <c:pt idx="3">
                  <c:v>515</c:v>
                </c:pt>
                <c:pt idx="4">
                  <c:v>523</c:v>
                </c:pt>
                <c:pt idx="5">
                  <c:v>378.33333333333331</c:v>
                </c:pt>
                <c:pt idx="6">
                  <c:v>470.66666666666669</c:v>
                </c:pt>
                <c:pt idx="7">
                  <c:v>4300</c:v>
                </c:pt>
                <c:pt idx="8">
                  <c:v>1088</c:v>
                </c:pt>
                <c:pt idx="9">
                  <c:v>255.5</c:v>
                </c:pt>
                <c:pt idx="10">
                  <c:v>5531</c:v>
                </c:pt>
                <c:pt idx="11">
                  <c:v>420.5</c:v>
                </c:pt>
                <c:pt idx="12">
                  <c:v>719</c:v>
                </c:pt>
                <c:pt idx="13">
                  <c:v>338</c:v>
                </c:pt>
                <c:pt idx="14">
                  <c:v>246</c:v>
                </c:pt>
                <c:pt idx="15">
                  <c:v>6150</c:v>
                </c:pt>
                <c:pt idx="16">
                  <c:v>816.4</c:v>
                </c:pt>
                <c:pt idx="17">
                  <c:v>1568.0833333333333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9-43D0-8231-243A2A4168EE}"/>
            </c:ext>
          </c:extLst>
        </c:ser>
        <c:ser>
          <c:idx val="1"/>
          <c:order val="1"/>
          <c:tx>
            <c:strRef>
              <c:f>'Interação - TEMA'!$P$11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TEMA'!$N$12:$N$29</c:f>
              <c:strCache>
                <c:ptCount val="18"/>
                <c:pt idx="0">
                  <c:v>Adesão Turquia</c:v>
                </c:pt>
                <c:pt idx="1">
                  <c:v>Ambiente</c:v>
                </c:pt>
                <c:pt idx="2">
                  <c:v>Atividades PE</c:v>
                </c:pt>
                <c:pt idx="3">
                  <c:v>Brexit</c:v>
                </c:pt>
                <c:pt idx="4">
                  <c:v>Cultura</c:v>
                </c:pt>
                <c:pt idx="5">
                  <c:v>DH</c:v>
                </c:pt>
                <c:pt idx="6">
                  <c:v>Economia</c:v>
                </c:pt>
                <c:pt idx="7">
                  <c:v>Efemérides</c:v>
                </c:pt>
                <c:pt idx="8">
                  <c:v>Energia</c:v>
                </c:pt>
                <c:pt idx="9">
                  <c:v>Financiamento Europeu</c:v>
                </c:pt>
                <c:pt idx="10">
                  <c:v>Faits-Divers</c:v>
                </c:pt>
                <c:pt idx="11">
                  <c:v>Informações Úteis</c:v>
                </c:pt>
                <c:pt idx="12">
                  <c:v>Multilinguismo</c:v>
                </c:pt>
                <c:pt idx="13">
                  <c:v>Outros</c:v>
                </c:pt>
                <c:pt idx="14">
                  <c:v>Passatempos</c:v>
                </c:pt>
                <c:pt idx="15">
                  <c:v>Redes Sociais</c:v>
                </c:pt>
                <c:pt idx="16">
                  <c:v>Refugiados</c:v>
                </c:pt>
                <c:pt idx="17">
                  <c:v>Terrorismo</c:v>
                </c:pt>
              </c:strCache>
            </c:strRef>
          </c:cat>
          <c:val>
            <c:numRef>
              <c:f>'Interação - TEMA'!$P$12:$P$29</c:f>
              <c:numCache>
                <c:formatCode>0</c:formatCode>
                <c:ptCount val="18"/>
                <c:pt idx="0">
                  <c:v>101</c:v>
                </c:pt>
                <c:pt idx="1">
                  <c:v>108.33333333333333</c:v>
                </c:pt>
                <c:pt idx="2">
                  <c:v>56.444444444444443</c:v>
                </c:pt>
                <c:pt idx="3">
                  <c:v>93</c:v>
                </c:pt>
                <c:pt idx="4">
                  <c:v>28</c:v>
                </c:pt>
                <c:pt idx="5">
                  <c:v>48</c:v>
                </c:pt>
                <c:pt idx="6">
                  <c:v>61</c:v>
                </c:pt>
                <c:pt idx="7">
                  <c:v>163</c:v>
                </c:pt>
                <c:pt idx="8">
                  <c:v>122</c:v>
                </c:pt>
                <c:pt idx="9">
                  <c:v>39</c:v>
                </c:pt>
                <c:pt idx="10">
                  <c:v>107.33333333333333</c:v>
                </c:pt>
                <c:pt idx="11">
                  <c:v>69.666666666666671</c:v>
                </c:pt>
                <c:pt idx="12">
                  <c:v>71</c:v>
                </c:pt>
                <c:pt idx="13">
                  <c:v>102</c:v>
                </c:pt>
                <c:pt idx="14">
                  <c:v>26.4</c:v>
                </c:pt>
                <c:pt idx="15">
                  <c:v>223.5</c:v>
                </c:pt>
                <c:pt idx="16">
                  <c:v>171.8</c:v>
                </c:pt>
                <c:pt idx="17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79-43D0-8231-243A2A4168EE}"/>
            </c:ext>
          </c:extLst>
        </c:ser>
        <c:ser>
          <c:idx val="2"/>
          <c:order val="2"/>
          <c:tx>
            <c:strRef>
              <c:f>'Interação - TEMA'!$Q$11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TEMA'!$N$12:$N$29</c:f>
              <c:strCache>
                <c:ptCount val="18"/>
                <c:pt idx="0">
                  <c:v>Adesão Turquia</c:v>
                </c:pt>
                <c:pt idx="1">
                  <c:v>Ambiente</c:v>
                </c:pt>
                <c:pt idx="2">
                  <c:v>Atividades PE</c:v>
                </c:pt>
                <c:pt idx="3">
                  <c:v>Brexit</c:v>
                </c:pt>
                <c:pt idx="4">
                  <c:v>Cultura</c:v>
                </c:pt>
                <c:pt idx="5">
                  <c:v>DH</c:v>
                </c:pt>
                <c:pt idx="6">
                  <c:v>Economia</c:v>
                </c:pt>
                <c:pt idx="7">
                  <c:v>Efemérides</c:v>
                </c:pt>
                <c:pt idx="8">
                  <c:v>Energia</c:v>
                </c:pt>
                <c:pt idx="9">
                  <c:v>Financiamento Europeu</c:v>
                </c:pt>
                <c:pt idx="10">
                  <c:v>Faits-Divers</c:v>
                </c:pt>
                <c:pt idx="11">
                  <c:v>Informações Úteis</c:v>
                </c:pt>
                <c:pt idx="12">
                  <c:v>Multilinguismo</c:v>
                </c:pt>
                <c:pt idx="13">
                  <c:v>Outros</c:v>
                </c:pt>
                <c:pt idx="14">
                  <c:v>Passatempos</c:v>
                </c:pt>
                <c:pt idx="15">
                  <c:v>Redes Sociais</c:v>
                </c:pt>
                <c:pt idx="16">
                  <c:v>Refugiados</c:v>
                </c:pt>
                <c:pt idx="17">
                  <c:v>Terrorismo</c:v>
                </c:pt>
              </c:strCache>
            </c:strRef>
          </c:cat>
          <c:val>
            <c:numRef>
              <c:f>'Interação - TEMA'!$Q$12:$Q$29</c:f>
              <c:numCache>
                <c:formatCode>0</c:formatCode>
                <c:ptCount val="18"/>
                <c:pt idx="0">
                  <c:v>61</c:v>
                </c:pt>
                <c:pt idx="1">
                  <c:v>285.33333333333331</c:v>
                </c:pt>
                <c:pt idx="2">
                  <c:v>107.77777777777777</c:v>
                </c:pt>
                <c:pt idx="3">
                  <c:v>104</c:v>
                </c:pt>
                <c:pt idx="4">
                  <c:v>134</c:v>
                </c:pt>
                <c:pt idx="5">
                  <c:v>156</c:v>
                </c:pt>
                <c:pt idx="6">
                  <c:v>103.66666666666667</c:v>
                </c:pt>
                <c:pt idx="7">
                  <c:v>553</c:v>
                </c:pt>
                <c:pt idx="8">
                  <c:v>437</c:v>
                </c:pt>
                <c:pt idx="9">
                  <c:v>109.5</c:v>
                </c:pt>
                <c:pt idx="10">
                  <c:v>289</c:v>
                </c:pt>
                <c:pt idx="11">
                  <c:v>75.833333333333329</c:v>
                </c:pt>
                <c:pt idx="12">
                  <c:v>91</c:v>
                </c:pt>
                <c:pt idx="13">
                  <c:v>86</c:v>
                </c:pt>
                <c:pt idx="14">
                  <c:v>48.8</c:v>
                </c:pt>
                <c:pt idx="15">
                  <c:v>143</c:v>
                </c:pt>
                <c:pt idx="16">
                  <c:v>135.6</c:v>
                </c:pt>
                <c:pt idx="17">
                  <c:v>247.58333333333334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79-43D0-8231-243A2A41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5077920"/>
        <c:axId val="885082816"/>
      </c:barChart>
      <c:catAx>
        <c:axId val="885077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82816"/>
        <c:crosses val="autoZero"/>
        <c:auto val="1"/>
        <c:lblAlgn val="ctr"/>
        <c:lblOffset val="100"/>
        <c:noMultiLvlLbl val="0"/>
      </c:catAx>
      <c:valAx>
        <c:axId val="88508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Tema em Dezembro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TEMA'!$O$80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TEMA'!$N$81:$N$102</c:f>
              <c:strCache>
                <c:ptCount val="22"/>
                <c:pt idx="0">
                  <c:v>Ambiente</c:v>
                </c:pt>
                <c:pt idx="1">
                  <c:v>Atividades PE</c:v>
                </c:pt>
                <c:pt idx="2">
                  <c:v>D&amp;C</c:v>
                </c:pt>
                <c:pt idx="3">
                  <c:v>DH</c:v>
                </c:pt>
                <c:pt idx="4">
                  <c:v>Economia</c:v>
                </c:pt>
                <c:pt idx="5">
                  <c:v>Efemérides</c:v>
                </c:pt>
                <c:pt idx="6">
                  <c:v>Faits-Divers</c:v>
                </c:pt>
                <c:pt idx="7">
                  <c:v>Informações Úteis</c:v>
                </c:pt>
                <c:pt idx="8">
                  <c:v>Juventude</c:v>
                </c:pt>
                <c:pt idx="9">
                  <c:v>Multiculturalismo</c:v>
                </c:pt>
                <c:pt idx="10">
                  <c:v>Multilinguismo</c:v>
                </c:pt>
                <c:pt idx="11">
                  <c:v>Passatempos</c:v>
                </c:pt>
                <c:pt idx="12">
                  <c:v>Presidência Holandesa</c:v>
                </c:pt>
                <c:pt idx="13">
                  <c:v>Presidente PE</c:v>
                </c:pt>
                <c:pt idx="14">
                  <c:v>Raif Badawi</c:v>
                </c:pt>
                <c:pt idx="15">
                  <c:v>Redes Sociais</c:v>
                </c:pt>
                <c:pt idx="16">
                  <c:v>Refugiados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Terrorismo</c:v>
                </c:pt>
                <c:pt idx="21">
                  <c:v>TTIP</c:v>
                </c:pt>
              </c:strCache>
            </c:strRef>
          </c:cat>
          <c:val>
            <c:numRef>
              <c:f>'Interação - TEMA'!$O$81:$O$102</c:f>
              <c:numCache>
                <c:formatCode>0</c:formatCode>
                <c:ptCount val="22"/>
                <c:pt idx="0">
                  <c:v>368.63636363636363</c:v>
                </c:pt>
                <c:pt idx="1">
                  <c:v>446.4</c:v>
                </c:pt>
                <c:pt idx="2">
                  <c:v>666.5</c:v>
                </c:pt>
                <c:pt idx="3">
                  <c:v>1385.6666666666667</c:v>
                </c:pt>
                <c:pt idx="4">
                  <c:v>875</c:v>
                </c:pt>
                <c:pt idx="5">
                  <c:v>2057.125</c:v>
                </c:pt>
                <c:pt idx="6">
                  <c:v>1833.3333333333333</c:v>
                </c:pt>
                <c:pt idx="7">
                  <c:v>535.33333333333337</c:v>
                </c:pt>
                <c:pt idx="8">
                  <c:v>138</c:v>
                </c:pt>
                <c:pt idx="9">
                  <c:v>388</c:v>
                </c:pt>
                <c:pt idx="10">
                  <c:v>509</c:v>
                </c:pt>
                <c:pt idx="11">
                  <c:v>467.66666666666669</c:v>
                </c:pt>
                <c:pt idx="12">
                  <c:v>91</c:v>
                </c:pt>
                <c:pt idx="13">
                  <c:v>319</c:v>
                </c:pt>
                <c:pt idx="14">
                  <c:v>1274</c:v>
                </c:pt>
                <c:pt idx="15">
                  <c:v>701.25</c:v>
                </c:pt>
                <c:pt idx="16">
                  <c:v>376.5</c:v>
                </c:pt>
                <c:pt idx="17">
                  <c:v>170</c:v>
                </c:pt>
                <c:pt idx="18">
                  <c:v>981</c:v>
                </c:pt>
                <c:pt idx="19">
                  <c:v>399.25</c:v>
                </c:pt>
                <c:pt idx="20">
                  <c:v>476.33333333333331</c:v>
                </c:pt>
                <c:pt idx="21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4-42DB-81E6-CEDC1CBD7C2A}"/>
            </c:ext>
          </c:extLst>
        </c:ser>
        <c:ser>
          <c:idx val="1"/>
          <c:order val="1"/>
          <c:tx>
            <c:strRef>
              <c:f>'Interação - TEMA'!$P$80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TEMA'!$N$81:$N$102</c:f>
              <c:strCache>
                <c:ptCount val="22"/>
                <c:pt idx="0">
                  <c:v>Ambiente</c:v>
                </c:pt>
                <c:pt idx="1">
                  <c:v>Atividades PE</c:v>
                </c:pt>
                <c:pt idx="2">
                  <c:v>D&amp;C</c:v>
                </c:pt>
                <c:pt idx="3">
                  <c:v>DH</c:v>
                </c:pt>
                <c:pt idx="4">
                  <c:v>Economia</c:v>
                </c:pt>
                <c:pt idx="5">
                  <c:v>Efemérides</c:v>
                </c:pt>
                <c:pt idx="6">
                  <c:v>Faits-Divers</c:v>
                </c:pt>
                <c:pt idx="7">
                  <c:v>Informações Úteis</c:v>
                </c:pt>
                <c:pt idx="8">
                  <c:v>Juventude</c:v>
                </c:pt>
                <c:pt idx="9">
                  <c:v>Multiculturalismo</c:v>
                </c:pt>
                <c:pt idx="10">
                  <c:v>Multilinguismo</c:v>
                </c:pt>
                <c:pt idx="11">
                  <c:v>Passatempos</c:v>
                </c:pt>
                <c:pt idx="12">
                  <c:v>Presidência Holandesa</c:v>
                </c:pt>
                <c:pt idx="13">
                  <c:v>Presidente PE</c:v>
                </c:pt>
                <c:pt idx="14">
                  <c:v>Raif Badawi</c:v>
                </c:pt>
                <c:pt idx="15">
                  <c:v>Redes Sociais</c:v>
                </c:pt>
                <c:pt idx="16">
                  <c:v>Refugiados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Terrorismo</c:v>
                </c:pt>
                <c:pt idx="21">
                  <c:v>TTIP</c:v>
                </c:pt>
              </c:strCache>
            </c:strRef>
          </c:cat>
          <c:val>
            <c:numRef>
              <c:f>'Interação - TEMA'!$P$81:$P$102</c:f>
              <c:numCache>
                <c:formatCode>0</c:formatCode>
                <c:ptCount val="22"/>
                <c:pt idx="0">
                  <c:v>35</c:v>
                </c:pt>
                <c:pt idx="1">
                  <c:v>63.8</c:v>
                </c:pt>
                <c:pt idx="2">
                  <c:v>51.5</c:v>
                </c:pt>
                <c:pt idx="3">
                  <c:v>65</c:v>
                </c:pt>
                <c:pt idx="4">
                  <c:v>28</c:v>
                </c:pt>
                <c:pt idx="5">
                  <c:v>92.75</c:v>
                </c:pt>
                <c:pt idx="6">
                  <c:v>78</c:v>
                </c:pt>
                <c:pt idx="7">
                  <c:v>41</c:v>
                </c:pt>
                <c:pt idx="8">
                  <c:v>18</c:v>
                </c:pt>
                <c:pt idx="9">
                  <c:v>53.5</c:v>
                </c:pt>
                <c:pt idx="10">
                  <c:v>81</c:v>
                </c:pt>
                <c:pt idx="11">
                  <c:v>80</c:v>
                </c:pt>
                <c:pt idx="12">
                  <c:v>34</c:v>
                </c:pt>
                <c:pt idx="13">
                  <c:v>56.5</c:v>
                </c:pt>
                <c:pt idx="14">
                  <c:v>46.5</c:v>
                </c:pt>
                <c:pt idx="15">
                  <c:v>41.5</c:v>
                </c:pt>
                <c:pt idx="16">
                  <c:v>82.5</c:v>
                </c:pt>
                <c:pt idx="17">
                  <c:v>8</c:v>
                </c:pt>
                <c:pt idx="18">
                  <c:v>67</c:v>
                </c:pt>
                <c:pt idx="19">
                  <c:v>39.75</c:v>
                </c:pt>
                <c:pt idx="20">
                  <c:v>72.333333333333329</c:v>
                </c:pt>
                <c:pt idx="2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4-42DB-81E6-CEDC1CBD7C2A}"/>
            </c:ext>
          </c:extLst>
        </c:ser>
        <c:ser>
          <c:idx val="2"/>
          <c:order val="2"/>
          <c:tx>
            <c:strRef>
              <c:f>'Interação - TEMA'!$Q$80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TEMA'!$N$81:$N$102</c:f>
              <c:strCache>
                <c:ptCount val="22"/>
                <c:pt idx="0">
                  <c:v>Ambiente</c:v>
                </c:pt>
                <c:pt idx="1">
                  <c:v>Atividades PE</c:v>
                </c:pt>
                <c:pt idx="2">
                  <c:v>D&amp;C</c:v>
                </c:pt>
                <c:pt idx="3">
                  <c:v>DH</c:v>
                </c:pt>
                <c:pt idx="4">
                  <c:v>Economia</c:v>
                </c:pt>
                <c:pt idx="5">
                  <c:v>Efemérides</c:v>
                </c:pt>
                <c:pt idx="6">
                  <c:v>Faits-Divers</c:v>
                </c:pt>
                <c:pt idx="7">
                  <c:v>Informações Úteis</c:v>
                </c:pt>
                <c:pt idx="8">
                  <c:v>Juventude</c:v>
                </c:pt>
                <c:pt idx="9">
                  <c:v>Multiculturalismo</c:v>
                </c:pt>
                <c:pt idx="10">
                  <c:v>Multilinguismo</c:v>
                </c:pt>
                <c:pt idx="11">
                  <c:v>Passatempos</c:v>
                </c:pt>
                <c:pt idx="12">
                  <c:v>Presidência Holandesa</c:v>
                </c:pt>
                <c:pt idx="13">
                  <c:v>Presidente PE</c:v>
                </c:pt>
                <c:pt idx="14">
                  <c:v>Raif Badawi</c:v>
                </c:pt>
                <c:pt idx="15">
                  <c:v>Redes Sociais</c:v>
                </c:pt>
                <c:pt idx="16">
                  <c:v>Refugiados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Terrorismo</c:v>
                </c:pt>
                <c:pt idx="21">
                  <c:v>TTIP</c:v>
                </c:pt>
              </c:strCache>
            </c:strRef>
          </c:cat>
          <c:val>
            <c:numRef>
              <c:f>'Interação - TEMA'!$Q$81:$Q$102</c:f>
              <c:numCache>
                <c:formatCode>0</c:formatCode>
                <c:ptCount val="22"/>
                <c:pt idx="0">
                  <c:v>59.81818181818182</c:v>
                </c:pt>
                <c:pt idx="1">
                  <c:v>49.4</c:v>
                </c:pt>
                <c:pt idx="2">
                  <c:v>184.5</c:v>
                </c:pt>
                <c:pt idx="3">
                  <c:v>723</c:v>
                </c:pt>
                <c:pt idx="4">
                  <c:v>127</c:v>
                </c:pt>
                <c:pt idx="5">
                  <c:v>195.375</c:v>
                </c:pt>
                <c:pt idx="6">
                  <c:v>188.66666666666666</c:v>
                </c:pt>
                <c:pt idx="7">
                  <c:v>88.166666666666671</c:v>
                </c:pt>
                <c:pt idx="8">
                  <c:v>42</c:v>
                </c:pt>
                <c:pt idx="9">
                  <c:v>127.5</c:v>
                </c:pt>
                <c:pt idx="10">
                  <c:v>81.666666666666671</c:v>
                </c:pt>
                <c:pt idx="11">
                  <c:v>85.333333333333329</c:v>
                </c:pt>
                <c:pt idx="12">
                  <c:v>8</c:v>
                </c:pt>
                <c:pt idx="13">
                  <c:v>31.5</c:v>
                </c:pt>
                <c:pt idx="14">
                  <c:v>513.75</c:v>
                </c:pt>
                <c:pt idx="15">
                  <c:v>88.5</c:v>
                </c:pt>
                <c:pt idx="16">
                  <c:v>174.5</c:v>
                </c:pt>
                <c:pt idx="17">
                  <c:v>95</c:v>
                </c:pt>
                <c:pt idx="18">
                  <c:v>130</c:v>
                </c:pt>
                <c:pt idx="19">
                  <c:v>102.75</c:v>
                </c:pt>
                <c:pt idx="20">
                  <c:v>101.66666666666667</c:v>
                </c:pt>
                <c:pt idx="2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4-42DB-81E6-CEDC1CBD7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5078464"/>
        <c:axId val="885081728"/>
      </c:barChart>
      <c:catAx>
        <c:axId val="88507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81728"/>
        <c:crosses val="autoZero"/>
        <c:auto val="1"/>
        <c:lblAlgn val="ctr"/>
        <c:lblOffset val="100"/>
        <c:noMultiLvlLbl val="0"/>
      </c:catAx>
      <c:valAx>
        <c:axId val="88508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Tema em Janeiro 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TEMA'!$O$160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TEMA'!$N$161:$N$183</c:f>
              <c:strCache>
                <c:ptCount val="23"/>
                <c:pt idx="0">
                  <c:v>Ambiente</c:v>
                </c:pt>
                <c:pt idx="1">
                  <c:v>Atividades PE</c:v>
                </c:pt>
                <c:pt idx="2">
                  <c:v>Cultura</c:v>
                </c:pt>
                <c:pt idx="3">
                  <c:v>DH</c:v>
                </c:pt>
                <c:pt idx="4">
                  <c:v>Economia</c:v>
                </c:pt>
                <c:pt idx="5">
                  <c:v>Efeméride</c:v>
                </c:pt>
                <c:pt idx="6">
                  <c:v>Energia</c:v>
                </c:pt>
                <c:pt idx="7">
                  <c:v>Faits-Divers</c:v>
                </c:pt>
                <c:pt idx="8">
                  <c:v>Informações úteis</c:v>
                </c:pt>
                <c:pt idx="9">
                  <c:v>Juventude</c:v>
                </c:pt>
                <c:pt idx="10">
                  <c:v>Multiculturalismo</c:v>
                </c:pt>
                <c:pt idx="11">
                  <c:v>Multilinguismo</c:v>
                </c:pt>
                <c:pt idx="12">
                  <c:v>Presidência Holandesa</c:v>
                </c:pt>
                <c:pt idx="13">
                  <c:v>Redes Sociais</c:v>
                </c:pt>
                <c:pt idx="14">
                  <c:v>Refugiados</c:v>
                </c:pt>
                <c:pt idx="15">
                  <c:v>Relações EM</c:v>
                </c:pt>
                <c:pt idx="16">
                  <c:v>Relações extraUE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Terrorismo</c:v>
                </c:pt>
                <c:pt idx="21">
                  <c:v>TiSA</c:v>
                </c:pt>
                <c:pt idx="22">
                  <c:v>TTIP</c:v>
                </c:pt>
              </c:strCache>
            </c:strRef>
          </c:cat>
          <c:val>
            <c:numRef>
              <c:f>'Interação - TEMA'!$O$161:$O$183</c:f>
              <c:numCache>
                <c:formatCode>0</c:formatCode>
                <c:ptCount val="23"/>
                <c:pt idx="0">
                  <c:v>1295</c:v>
                </c:pt>
                <c:pt idx="1">
                  <c:v>434.23076923076923</c:v>
                </c:pt>
                <c:pt idx="2">
                  <c:v>175</c:v>
                </c:pt>
                <c:pt idx="3">
                  <c:v>9500</c:v>
                </c:pt>
                <c:pt idx="4">
                  <c:v>199.5</c:v>
                </c:pt>
                <c:pt idx="5">
                  <c:v>694</c:v>
                </c:pt>
                <c:pt idx="6">
                  <c:v>1232</c:v>
                </c:pt>
                <c:pt idx="7">
                  <c:v>1424</c:v>
                </c:pt>
                <c:pt idx="8">
                  <c:v>624.5</c:v>
                </c:pt>
                <c:pt idx="9">
                  <c:v>76.333333333333329</c:v>
                </c:pt>
                <c:pt idx="10">
                  <c:v>461</c:v>
                </c:pt>
                <c:pt idx="11">
                  <c:v>1726</c:v>
                </c:pt>
                <c:pt idx="12">
                  <c:v>988.33333333333337</c:v>
                </c:pt>
                <c:pt idx="13">
                  <c:v>246</c:v>
                </c:pt>
                <c:pt idx="14">
                  <c:v>508.5</c:v>
                </c:pt>
                <c:pt idx="15">
                  <c:v>187.66666666666666</c:v>
                </c:pt>
                <c:pt idx="16">
                  <c:v>224</c:v>
                </c:pt>
                <c:pt idx="17">
                  <c:v>1319</c:v>
                </c:pt>
                <c:pt idx="18">
                  <c:v>407.5</c:v>
                </c:pt>
                <c:pt idx="19">
                  <c:v>209</c:v>
                </c:pt>
                <c:pt idx="20">
                  <c:v>366.5</c:v>
                </c:pt>
                <c:pt idx="21">
                  <c:v>215.5</c:v>
                </c:pt>
                <c:pt idx="22">
                  <c:v>86.666666666666671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8-46D1-8A64-AFC5634F1F55}"/>
            </c:ext>
          </c:extLst>
        </c:ser>
        <c:ser>
          <c:idx val="1"/>
          <c:order val="1"/>
          <c:tx>
            <c:strRef>
              <c:f>'Interação - TEMA'!$P$160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TEMA'!$N$161:$N$183</c:f>
              <c:strCache>
                <c:ptCount val="23"/>
                <c:pt idx="0">
                  <c:v>Ambiente</c:v>
                </c:pt>
                <c:pt idx="1">
                  <c:v>Atividades PE</c:v>
                </c:pt>
                <c:pt idx="2">
                  <c:v>Cultura</c:v>
                </c:pt>
                <c:pt idx="3">
                  <c:v>DH</c:v>
                </c:pt>
                <c:pt idx="4">
                  <c:v>Economia</c:v>
                </c:pt>
                <c:pt idx="5">
                  <c:v>Efeméride</c:v>
                </c:pt>
                <c:pt idx="6">
                  <c:v>Energia</c:v>
                </c:pt>
                <c:pt idx="7">
                  <c:v>Faits-Divers</c:v>
                </c:pt>
                <c:pt idx="8">
                  <c:v>Informações úteis</c:v>
                </c:pt>
                <c:pt idx="9">
                  <c:v>Juventude</c:v>
                </c:pt>
                <c:pt idx="10">
                  <c:v>Multiculturalismo</c:v>
                </c:pt>
                <c:pt idx="11">
                  <c:v>Multilinguismo</c:v>
                </c:pt>
                <c:pt idx="12">
                  <c:v>Presidência Holandesa</c:v>
                </c:pt>
                <c:pt idx="13">
                  <c:v>Redes Sociais</c:v>
                </c:pt>
                <c:pt idx="14">
                  <c:v>Refugiados</c:v>
                </c:pt>
                <c:pt idx="15">
                  <c:v>Relações EM</c:v>
                </c:pt>
                <c:pt idx="16">
                  <c:v>Relações extraUE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Terrorismo</c:v>
                </c:pt>
                <c:pt idx="21">
                  <c:v>TiSA</c:v>
                </c:pt>
                <c:pt idx="22">
                  <c:v>TTIP</c:v>
                </c:pt>
              </c:strCache>
            </c:strRef>
          </c:cat>
          <c:val>
            <c:numRef>
              <c:f>'Interação - TEMA'!$P$161:$P$183</c:f>
              <c:numCache>
                <c:formatCode>0</c:formatCode>
                <c:ptCount val="23"/>
                <c:pt idx="0">
                  <c:v>93.666666666666671</c:v>
                </c:pt>
                <c:pt idx="1">
                  <c:v>54.769230769230766</c:v>
                </c:pt>
                <c:pt idx="2">
                  <c:v>39</c:v>
                </c:pt>
                <c:pt idx="3">
                  <c:v>213</c:v>
                </c:pt>
                <c:pt idx="4">
                  <c:v>49.5</c:v>
                </c:pt>
                <c:pt idx="5">
                  <c:v>80.333333333333329</c:v>
                </c:pt>
                <c:pt idx="6">
                  <c:v>91</c:v>
                </c:pt>
                <c:pt idx="7">
                  <c:v>51</c:v>
                </c:pt>
                <c:pt idx="8">
                  <c:v>61.5</c:v>
                </c:pt>
                <c:pt idx="9">
                  <c:v>29.333333333333332</c:v>
                </c:pt>
                <c:pt idx="10">
                  <c:v>79</c:v>
                </c:pt>
                <c:pt idx="11">
                  <c:v>112</c:v>
                </c:pt>
                <c:pt idx="12">
                  <c:v>178</c:v>
                </c:pt>
                <c:pt idx="13">
                  <c:v>82</c:v>
                </c:pt>
                <c:pt idx="14">
                  <c:v>162</c:v>
                </c:pt>
                <c:pt idx="15">
                  <c:v>57</c:v>
                </c:pt>
                <c:pt idx="16">
                  <c:v>80</c:v>
                </c:pt>
                <c:pt idx="17">
                  <c:v>80.5</c:v>
                </c:pt>
                <c:pt idx="18">
                  <c:v>54.5</c:v>
                </c:pt>
                <c:pt idx="19">
                  <c:v>41</c:v>
                </c:pt>
                <c:pt idx="20">
                  <c:v>81</c:v>
                </c:pt>
                <c:pt idx="21">
                  <c:v>35.5</c:v>
                </c:pt>
                <c:pt idx="22">
                  <c:v>27.333333333333332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48-46D1-8A64-AFC5634F1F55}"/>
            </c:ext>
          </c:extLst>
        </c:ser>
        <c:ser>
          <c:idx val="2"/>
          <c:order val="2"/>
          <c:tx>
            <c:strRef>
              <c:f>'Interação - TEMA'!$Q$160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TEMA'!$N$161:$N$183</c:f>
              <c:strCache>
                <c:ptCount val="23"/>
                <c:pt idx="0">
                  <c:v>Ambiente</c:v>
                </c:pt>
                <c:pt idx="1">
                  <c:v>Atividades PE</c:v>
                </c:pt>
                <c:pt idx="2">
                  <c:v>Cultura</c:v>
                </c:pt>
                <c:pt idx="3">
                  <c:v>DH</c:v>
                </c:pt>
                <c:pt idx="4">
                  <c:v>Economia</c:v>
                </c:pt>
                <c:pt idx="5">
                  <c:v>Efeméride</c:v>
                </c:pt>
                <c:pt idx="6">
                  <c:v>Energia</c:v>
                </c:pt>
                <c:pt idx="7">
                  <c:v>Faits-Divers</c:v>
                </c:pt>
                <c:pt idx="8">
                  <c:v>Informações úteis</c:v>
                </c:pt>
                <c:pt idx="9">
                  <c:v>Juventude</c:v>
                </c:pt>
                <c:pt idx="10">
                  <c:v>Multiculturalismo</c:v>
                </c:pt>
                <c:pt idx="11">
                  <c:v>Multilinguismo</c:v>
                </c:pt>
                <c:pt idx="12">
                  <c:v>Presidência Holandesa</c:v>
                </c:pt>
                <c:pt idx="13">
                  <c:v>Redes Sociais</c:v>
                </c:pt>
                <c:pt idx="14">
                  <c:v>Refugiados</c:v>
                </c:pt>
                <c:pt idx="15">
                  <c:v>Relações EM</c:v>
                </c:pt>
                <c:pt idx="16">
                  <c:v>Relações extraUE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Terrorismo</c:v>
                </c:pt>
                <c:pt idx="21">
                  <c:v>TiSA</c:v>
                </c:pt>
                <c:pt idx="22">
                  <c:v>TTIP</c:v>
                </c:pt>
              </c:strCache>
            </c:strRef>
          </c:cat>
          <c:val>
            <c:numRef>
              <c:f>'Interação - TEMA'!$Q$161:$Q$183</c:f>
              <c:numCache>
                <c:formatCode>0</c:formatCode>
                <c:ptCount val="23"/>
                <c:pt idx="0">
                  <c:v>285</c:v>
                </c:pt>
                <c:pt idx="1">
                  <c:v>63.92307692307692</c:v>
                </c:pt>
                <c:pt idx="2">
                  <c:v>34</c:v>
                </c:pt>
                <c:pt idx="3">
                  <c:v>7613</c:v>
                </c:pt>
                <c:pt idx="4">
                  <c:v>53</c:v>
                </c:pt>
                <c:pt idx="5">
                  <c:v>40.333333333333336</c:v>
                </c:pt>
                <c:pt idx="6">
                  <c:v>489</c:v>
                </c:pt>
                <c:pt idx="7">
                  <c:v>70</c:v>
                </c:pt>
                <c:pt idx="8">
                  <c:v>53</c:v>
                </c:pt>
                <c:pt idx="9">
                  <c:v>15.666666666666666</c:v>
                </c:pt>
                <c:pt idx="10">
                  <c:v>101</c:v>
                </c:pt>
                <c:pt idx="11">
                  <c:v>437.5</c:v>
                </c:pt>
                <c:pt idx="12">
                  <c:v>155</c:v>
                </c:pt>
                <c:pt idx="13">
                  <c:v>25</c:v>
                </c:pt>
                <c:pt idx="14">
                  <c:v>173</c:v>
                </c:pt>
                <c:pt idx="15">
                  <c:v>62</c:v>
                </c:pt>
                <c:pt idx="16">
                  <c:v>32</c:v>
                </c:pt>
                <c:pt idx="17">
                  <c:v>262</c:v>
                </c:pt>
                <c:pt idx="18">
                  <c:v>69</c:v>
                </c:pt>
                <c:pt idx="19">
                  <c:v>41</c:v>
                </c:pt>
                <c:pt idx="20">
                  <c:v>98.5</c:v>
                </c:pt>
                <c:pt idx="21">
                  <c:v>31.5</c:v>
                </c:pt>
                <c:pt idx="22">
                  <c:v>15.666666666666666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48-46D1-8A64-AFC5634F1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5070848"/>
        <c:axId val="885077376"/>
      </c:barChart>
      <c:catAx>
        <c:axId val="88507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7376"/>
        <c:crosses val="autoZero"/>
        <c:auto val="1"/>
        <c:lblAlgn val="ctr"/>
        <c:lblOffset val="100"/>
        <c:noMultiLvlLbl val="0"/>
      </c:catAx>
      <c:valAx>
        <c:axId val="88507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Tema em Fevereiro 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TEMA'!$O$227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TEMA'!$N$228:$N$249</c:f>
              <c:strCache>
                <c:ptCount val="22"/>
                <c:pt idx="0">
                  <c:v>Ambiente</c:v>
                </c:pt>
                <c:pt idx="1">
                  <c:v>Atividades PE</c:v>
                </c:pt>
                <c:pt idx="2">
                  <c:v>Brexit</c:v>
                </c:pt>
                <c:pt idx="3">
                  <c:v>Ciência</c:v>
                </c:pt>
                <c:pt idx="4">
                  <c:v>Cultura</c:v>
                </c:pt>
                <c:pt idx="5">
                  <c:v>D&amp;C</c:v>
                </c:pt>
                <c:pt idx="6">
                  <c:v>DH</c:v>
                </c:pt>
                <c:pt idx="7">
                  <c:v>Economia</c:v>
                </c:pt>
                <c:pt idx="8">
                  <c:v>Efemérides</c:v>
                </c:pt>
                <c:pt idx="9">
                  <c:v>Faits-Divers</c:v>
                </c:pt>
                <c:pt idx="10">
                  <c:v>Informações Úteis</c:v>
                </c:pt>
                <c:pt idx="11">
                  <c:v>Juventude</c:v>
                </c:pt>
                <c:pt idx="12">
                  <c:v>Multilinguismo</c:v>
                </c:pt>
                <c:pt idx="13">
                  <c:v>Outros</c:v>
                </c:pt>
                <c:pt idx="14">
                  <c:v>Refugiados</c:v>
                </c:pt>
                <c:pt idx="15">
                  <c:v>Relações EM</c:v>
                </c:pt>
                <c:pt idx="16">
                  <c:v>Relações ExtraUE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TiSA</c:v>
                </c:pt>
                <c:pt idx="21">
                  <c:v>TTIP</c:v>
                </c:pt>
              </c:strCache>
            </c:strRef>
          </c:cat>
          <c:val>
            <c:numRef>
              <c:f>'Interação - TEMA'!$O$228:$O$249</c:f>
              <c:numCache>
                <c:formatCode>0</c:formatCode>
                <c:ptCount val="22"/>
                <c:pt idx="0">
                  <c:v>139</c:v>
                </c:pt>
                <c:pt idx="1">
                  <c:v>208.8</c:v>
                </c:pt>
                <c:pt idx="2">
                  <c:v>352</c:v>
                </c:pt>
                <c:pt idx="3">
                  <c:v>708</c:v>
                </c:pt>
                <c:pt idx="4">
                  <c:v>169</c:v>
                </c:pt>
                <c:pt idx="5">
                  <c:v>136</c:v>
                </c:pt>
                <c:pt idx="6">
                  <c:v>452</c:v>
                </c:pt>
                <c:pt idx="7">
                  <c:v>1900</c:v>
                </c:pt>
                <c:pt idx="8">
                  <c:v>1068.5</c:v>
                </c:pt>
                <c:pt idx="9">
                  <c:v>1167.3333333333333</c:v>
                </c:pt>
                <c:pt idx="10">
                  <c:v>174.4</c:v>
                </c:pt>
                <c:pt idx="11">
                  <c:v>531</c:v>
                </c:pt>
                <c:pt idx="12">
                  <c:v>670.66666666666663</c:v>
                </c:pt>
                <c:pt idx="13">
                  <c:v>213.5</c:v>
                </c:pt>
                <c:pt idx="14">
                  <c:v>1797.5</c:v>
                </c:pt>
                <c:pt idx="15">
                  <c:v>617</c:v>
                </c:pt>
                <c:pt idx="16">
                  <c:v>281.5</c:v>
                </c:pt>
                <c:pt idx="17">
                  <c:v>248.33333333333334</c:v>
                </c:pt>
                <c:pt idx="18">
                  <c:v>8690.3333333333339</c:v>
                </c:pt>
                <c:pt idx="19">
                  <c:v>321</c:v>
                </c:pt>
                <c:pt idx="20">
                  <c:v>91</c:v>
                </c:pt>
                <c:pt idx="21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E-435D-A867-3A5ECA76D9B7}"/>
            </c:ext>
          </c:extLst>
        </c:ser>
        <c:ser>
          <c:idx val="1"/>
          <c:order val="1"/>
          <c:tx>
            <c:strRef>
              <c:f>'Interação - TEMA'!$P$227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TEMA'!$N$228:$N$249</c:f>
              <c:strCache>
                <c:ptCount val="22"/>
                <c:pt idx="0">
                  <c:v>Ambiente</c:v>
                </c:pt>
                <c:pt idx="1">
                  <c:v>Atividades PE</c:v>
                </c:pt>
                <c:pt idx="2">
                  <c:v>Brexit</c:v>
                </c:pt>
                <c:pt idx="3">
                  <c:v>Ciência</c:v>
                </c:pt>
                <c:pt idx="4">
                  <c:v>Cultura</c:v>
                </c:pt>
                <c:pt idx="5">
                  <c:v>D&amp;C</c:v>
                </c:pt>
                <c:pt idx="6">
                  <c:v>DH</c:v>
                </c:pt>
                <c:pt idx="7">
                  <c:v>Economia</c:v>
                </c:pt>
                <c:pt idx="8">
                  <c:v>Efemérides</c:v>
                </c:pt>
                <c:pt idx="9">
                  <c:v>Faits-Divers</c:v>
                </c:pt>
                <c:pt idx="10">
                  <c:v>Informações Úteis</c:v>
                </c:pt>
                <c:pt idx="11">
                  <c:v>Juventude</c:v>
                </c:pt>
                <c:pt idx="12">
                  <c:v>Multilinguismo</c:v>
                </c:pt>
                <c:pt idx="13">
                  <c:v>Outros</c:v>
                </c:pt>
                <c:pt idx="14">
                  <c:v>Refugiados</c:v>
                </c:pt>
                <c:pt idx="15">
                  <c:v>Relações EM</c:v>
                </c:pt>
                <c:pt idx="16">
                  <c:v>Relações ExtraUE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TiSA</c:v>
                </c:pt>
                <c:pt idx="21">
                  <c:v>TTIP</c:v>
                </c:pt>
              </c:strCache>
            </c:strRef>
          </c:cat>
          <c:val>
            <c:numRef>
              <c:f>'Interação - TEMA'!$P$228:$P$249</c:f>
              <c:numCache>
                <c:formatCode>0</c:formatCode>
                <c:ptCount val="22"/>
                <c:pt idx="0">
                  <c:v>50</c:v>
                </c:pt>
                <c:pt idx="1">
                  <c:v>40.799999999999997</c:v>
                </c:pt>
                <c:pt idx="2">
                  <c:v>119</c:v>
                </c:pt>
                <c:pt idx="3">
                  <c:v>32</c:v>
                </c:pt>
                <c:pt idx="4">
                  <c:v>23.333333333333332</c:v>
                </c:pt>
                <c:pt idx="5">
                  <c:v>45</c:v>
                </c:pt>
                <c:pt idx="6">
                  <c:v>67</c:v>
                </c:pt>
                <c:pt idx="7">
                  <c:v>81</c:v>
                </c:pt>
                <c:pt idx="8">
                  <c:v>34</c:v>
                </c:pt>
                <c:pt idx="9">
                  <c:v>100</c:v>
                </c:pt>
                <c:pt idx="10">
                  <c:v>27</c:v>
                </c:pt>
                <c:pt idx="11">
                  <c:v>24</c:v>
                </c:pt>
                <c:pt idx="12">
                  <c:v>75.666666666666671</c:v>
                </c:pt>
                <c:pt idx="13">
                  <c:v>45</c:v>
                </c:pt>
                <c:pt idx="14">
                  <c:v>173.25</c:v>
                </c:pt>
                <c:pt idx="15">
                  <c:v>111</c:v>
                </c:pt>
                <c:pt idx="16">
                  <c:v>48.5</c:v>
                </c:pt>
                <c:pt idx="17">
                  <c:v>34</c:v>
                </c:pt>
                <c:pt idx="18">
                  <c:v>337.33333333333331</c:v>
                </c:pt>
                <c:pt idx="19">
                  <c:v>26</c:v>
                </c:pt>
                <c:pt idx="20">
                  <c:v>20</c:v>
                </c:pt>
                <c:pt idx="21">
                  <c:v>35.666666666666664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E-435D-A867-3A5ECA76D9B7}"/>
            </c:ext>
          </c:extLst>
        </c:ser>
        <c:ser>
          <c:idx val="2"/>
          <c:order val="2"/>
          <c:tx>
            <c:strRef>
              <c:f>'Interação - TEMA'!$Q$227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TEMA'!$N$228:$N$249</c:f>
              <c:strCache>
                <c:ptCount val="22"/>
                <c:pt idx="0">
                  <c:v>Ambiente</c:v>
                </c:pt>
                <c:pt idx="1">
                  <c:v>Atividades PE</c:v>
                </c:pt>
                <c:pt idx="2">
                  <c:v>Brexit</c:v>
                </c:pt>
                <c:pt idx="3">
                  <c:v>Ciência</c:v>
                </c:pt>
                <c:pt idx="4">
                  <c:v>Cultura</c:v>
                </c:pt>
                <c:pt idx="5">
                  <c:v>D&amp;C</c:v>
                </c:pt>
                <c:pt idx="6">
                  <c:v>DH</c:v>
                </c:pt>
                <c:pt idx="7">
                  <c:v>Economia</c:v>
                </c:pt>
                <c:pt idx="8">
                  <c:v>Efemérides</c:v>
                </c:pt>
                <c:pt idx="9">
                  <c:v>Faits-Divers</c:v>
                </c:pt>
                <c:pt idx="10">
                  <c:v>Informações Úteis</c:v>
                </c:pt>
                <c:pt idx="11">
                  <c:v>Juventude</c:v>
                </c:pt>
                <c:pt idx="12">
                  <c:v>Multilinguismo</c:v>
                </c:pt>
                <c:pt idx="13">
                  <c:v>Outros</c:v>
                </c:pt>
                <c:pt idx="14">
                  <c:v>Refugiados</c:v>
                </c:pt>
                <c:pt idx="15">
                  <c:v>Relações EM</c:v>
                </c:pt>
                <c:pt idx="16">
                  <c:v>Relações ExtraUE</c:v>
                </c:pt>
                <c:pt idx="17">
                  <c:v>Saúde</c:v>
                </c:pt>
                <c:pt idx="18">
                  <c:v>Segurança</c:v>
                </c:pt>
                <c:pt idx="19">
                  <c:v>Segurança Online</c:v>
                </c:pt>
                <c:pt idx="20">
                  <c:v>TiSA</c:v>
                </c:pt>
                <c:pt idx="21">
                  <c:v>TTIP</c:v>
                </c:pt>
              </c:strCache>
            </c:strRef>
          </c:cat>
          <c:val>
            <c:numRef>
              <c:f>'Interação - TEMA'!$Q$228:$Q$249</c:f>
              <c:numCache>
                <c:formatCode>0</c:formatCode>
                <c:ptCount val="22"/>
                <c:pt idx="0">
                  <c:v>51.5</c:v>
                </c:pt>
                <c:pt idx="1">
                  <c:v>42.9</c:v>
                </c:pt>
                <c:pt idx="2">
                  <c:v>75.5</c:v>
                </c:pt>
                <c:pt idx="3">
                  <c:v>83</c:v>
                </c:pt>
                <c:pt idx="4">
                  <c:v>27.666666666666668</c:v>
                </c:pt>
                <c:pt idx="5">
                  <c:v>24</c:v>
                </c:pt>
                <c:pt idx="6">
                  <c:v>114.5</c:v>
                </c:pt>
                <c:pt idx="7">
                  <c:v>336</c:v>
                </c:pt>
                <c:pt idx="8">
                  <c:v>131.5</c:v>
                </c:pt>
                <c:pt idx="9">
                  <c:v>76.333333333333329</c:v>
                </c:pt>
                <c:pt idx="10">
                  <c:v>39.4</c:v>
                </c:pt>
                <c:pt idx="11">
                  <c:v>136</c:v>
                </c:pt>
                <c:pt idx="12">
                  <c:v>142.66666666666666</c:v>
                </c:pt>
                <c:pt idx="13">
                  <c:v>56</c:v>
                </c:pt>
                <c:pt idx="14">
                  <c:v>765.625</c:v>
                </c:pt>
                <c:pt idx="15">
                  <c:v>95</c:v>
                </c:pt>
                <c:pt idx="16">
                  <c:v>61</c:v>
                </c:pt>
                <c:pt idx="17">
                  <c:v>88.333333333333329</c:v>
                </c:pt>
                <c:pt idx="18">
                  <c:v>2970.6666666666665</c:v>
                </c:pt>
                <c:pt idx="19">
                  <c:v>51</c:v>
                </c:pt>
                <c:pt idx="20">
                  <c:v>14</c:v>
                </c:pt>
                <c:pt idx="21">
                  <c:v>44.666666666666664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5E-435D-A867-3A5ECA76D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5072480"/>
        <c:axId val="885074112"/>
      </c:barChart>
      <c:catAx>
        <c:axId val="885072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4112"/>
        <c:crosses val="autoZero"/>
        <c:auto val="1"/>
        <c:lblAlgn val="ctr"/>
        <c:lblOffset val="100"/>
        <c:noMultiLvlLbl val="0"/>
      </c:catAx>
      <c:valAx>
        <c:axId val="8850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2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Média de Participações por publicação em relação ao TEMA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TEMA'!$G$298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TEMA'!$B$299:$B$330</c:f>
              <c:strCache>
                <c:ptCount val="32"/>
                <c:pt idx="0">
                  <c:v>Adesão Turquia</c:v>
                </c:pt>
                <c:pt idx="1">
                  <c:v>Ambiente</c:v>
                </c:pt>
                <c:pt idx="2">
                  <c:v>Atividades PE</c:v>
                </c:pt>
                <c:pt idx="3">
                  <c:v>Brexit</c:v>
                </c:pt>
                <c:pt idx="4">
                  <c:v>Ciência</c:v>
                </c:pt>
                <c:pt idx="5">
                  <c:v>Cultura</c:v>
                </c:pt>
                <c:pt idx="6">
                  <c:v>D&amp;C</c:v>
                </c:pt>
                <c:pt idx="7">
                  <c:v>DH</c:v>
                </c:pt>
                <c:pt idx="8">
                  <c:v>Economia</c:v>
                </c:pt>
                <c:pt idx="9">
                  <c:v>Efeméride</c:v>
                </c:pt>
                <c:pt idx="10">
                  <c:v>Energia</c:v>
                </c:pt>
                <c:pt idx="11">
                  <c:v>Financiamento Europeu</c:v>
                </c:pt>
                <c:pt idx="12">
                  <c:v>Faits-Divers</c:v>
                </c:pt>
                <c:pt idx="13">
                  <c:v>Informações Úteis</c:v>
                </c:pt>
                <c:pt idx="14">
                  <c:v>Juventude</c:v>
                </c:pt>
                <c:pt idx="15">
                  <c:v>Multiculturalismo</c:v>
                </c:pt>
                <c:pt idx="16">
                  <c:v>Multilinguismo</c:v>
                </c:pt>
                <c:pt idx="17">
                  <c:v>Outros</c:v>
                </c:pt>
                <c:pt idx="18">
                  <c:v>Passatempos</c:v>
                </c:pt>
                <c:pt idx="19">
                  <c:v>Presidência Holandesa</c:v>
                </c:pt>
                <c:pt idx="20">
                  <c:v>Presidente PE</c:v>
                </c:pt>
                <c:pt idx="21">
                  <c:v>Raif Badawi</c:v>
                </c:pt>
                <c:pt idx="22">
                  <c:v>Redes Sociais</c:v>
                </c:pt>
                <c:pt idx="23">
                  <c:v>Refugiados</c:v>
                </c:pt>
                <c:pt idx="24">
                  <c:v>Relações EM</c:v>
                </c:pt>
                <c:pt idx="25">
                  <c:v>Relações ExtraUE</c:v>
                </c:pt>
                <c:pt idx="26">
                  <c:v>Saúde</c:v>
                </c:pt>
                <c:pt idx="27">
                  <c:v>Segurança</c:v>
                </c:pt>
                <c:pt idx="28">
                  <c:v>Segurança Online</c:v>
                </c:pt>
                <c:pt idx="29">
                  <c:v>Terrorismo</c:v>
                </c:pt>
                <c:pt idx="30">
                  <c:v>TiSA</c:v>
                </c:pt>
                <c:pt idx="31">
                  <c:v>TTIP</c:v>
                </c:pt>
              </c:strCache>
            </c:strRef>
          </c:cat>
          <c:val>
            <c:numRef>
              <c:f>'Interação - TEMA'!$G$299:$G$330</c:f>
              <c:numCache>
                <c:formatCode>0</c:formatCode>
                <c:ptCount val="32"/>
                <c:pt idx="0">
                  <c:v>360</c:v>
                </c:pt>
                <c:pt idx="1">
                  <c:v>585.68421052631584</c:v>
                </c:pt>
                <c:pt idx="2">
                  <c:v>428.86486486486484</c:v>
                </c:pt>
                <c:pt idx="3">
                  <c:v>406.33333333333331</c:v>
                </c:pt>
                <c:pt idx="4">
                  <c:v>708</c:v>
                </c:pt>
                <c:pt idx="5">
                  <c:v>241</c:v>
                </c:pt>
                <c:pt idx="6">
                  <c:v>489.66666666666669</c:v>
                </c:pt>
                <c:pt idx="7">
                  <c:v>1744</c:v>
                </c:pt>
                <c:pt idx="8">
                  <c:v>655.14285714285711</c:v>
                </c:pt>
                <c:pt idx="9">
                  <c:v>1784</c:v>
                </c:pt>
                <c:pt idx="10">
                  <c:v>1160</c:v>
                </c:pt>
                <c:pt idx="11">
                  <c:v>255.5</c:v>
                </c:pt>
                <c:pt idx="12">
                  <c:v>2407</c:v>
                </c:pt>
                <c:pt idx="13">
                  <c:v>413.4736842105263</c:v>
                </c:pt>
                <c:pt idx="14">
                  <c:v>172.66666666666666</c:v>
                </c:pt>
                <c:pt idx="15">
                  <c:v>412.33333333333331</c:v>
                </c:pt>
                <c:pt idx="16">
                  <c:v>767.8</c:v>
                </c:pt>
                <c:pt idx="17">
                  <c:v>255</c:v>
                </c:pt>
                <c:pt idx="18">
                  <c:v>1704.125</c:v>
                </c:pt>
                <c:pt idx="19">
                  <c:v>764</c:v>
                </c:pt>
                <c:pt idx="20">
                  <c:v>319</c:v>
                </c:pt>
                <c:pt idx="21">
                  <c:v>1274</c:v>
                </c:pt>
                <c:pt idx="22">
                  <c:v>2193</c:v>
                </c:pt>
                <c:pt idx="23">
                  <c:v>1190.1176470588234</c:v>
                </c:pt>
                <c:pt idx="24">
                  <c:v>295</c:v>
                </c:pt>
                <c:pt idx="25">
                  <c:v>262.33333333333331</c:v>
                </c:pt>
                <c:pt idx="26">
                  <c:v>592.16666666666663</c:v>
                </c:pt>
                <c:pt idx="27">
                  <c:v>4644.5</c:v>
                </c:pt>
                <c:pt idx="28">
                  <c:v>333.71428571428572</c:v>
                </c:pt>
                <c:pt idx="29">
                  <c:v>1234.0588235294117</c:v>
                </c:pt>
                <c:pt idx="30">
                  <c:v>174</c:v>
                </c:pt>
                <c:pt idx="31">
                  <c:v>228.71428571428572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C-4AAE-A186-37779BC19DCC}"/>
            </c:ext>
          </c:extLst>
        </c:ser>
        <c:ser>
          <c:idx val="1"/>
          <c:order val="1"/>
          <c:tx>
            <c:strRef>
              <c:f>'Interação - TEMA'!$H$298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TEMA'!$B$299:$B$330</c:f>
              <c:strCache>
                <c:ptCount val="32"/>
                <c:pt idx="0">
                  <c:v>Adesão Turquia</c:v>
                </c:pt>
                <c:pt idx="1">
                  <c:v>Ambiente</c:v>
                </c:pt>
                <c:pt idx="2">
                  <c:v>Atividades PE</c:v>
                </c:pt>
                <c:pt idx="3">
                  <c:v>Brexit</c:v>
                </c:pt>
                <c:pt idx="4">
                  <c:v>Ciência</c:v>
                </c:pt>
                <c:pt idx="5">
                  <c:v>Cultura</c:v>
                </c:pt>
                <c:pt idx="6">
                  <c:v>D&amp;C</c:v>
                </c:pt>
                <c:pt idx="7">
                  <c:v>DH</c:v>
                </c:pt>
                <c:pt idx="8">
                  <c:v>Economia</c:v>
                </c:pt>
                <c:pt idx="9">
                  <c:v>Efeméride</c:v>
                </c:pt>
                <c:pt idx="10">
                  <c:v>Energia</c:v>
                </c:pt>
                <c:pt idx="11">
                  <c:v>Financiamento Europeu</c:v>
                </c:pt>
                <c:pt idx="12">
                  <c:v>Faits-Divers</c:v>
                </c:pt>
                <c:pt idx="13">
                  <c:v>Informações Úteis</c:v>
                </c:pt>
                <c:pt idx="14">
                  <c:v>Juventude</c:v>
                </c:pt>
                <c:pt idx="15">
                  <c:v>Multiculturalismo</c:v>
                </c:pt>
                <c:pt idx="16">
                  <c:v>Multilinguismo</c:v>
                </c:pt>
                <c:pt idx="17">
                  <c:v>Outros</c:v>
                </c:pt>
                <c:pt idx="18">
                  <c:v>Passatempos</c:v>
                </c:pt>
                <c:pt idx="19">
                  <c:v>Presidência Holandesa</c:v>
                </c:pt>
                <c:pt idx="20">
                  <c:v>Presidente PE</c:v>
                </c:pt>
                <c:pt idx="21">
                  <c:v>Raif Badawi</c:v>
                </c:pt>
                <c:pt idx="22">
                  <c:v>Redes Sociais</c:v>
                </c:pt>
                <c:pt idx="23">
                  <c:v>Refugiados</c:v>
                </c:pt>
                <c:pt idx="24">
                  <c:v>Relações EM</c:v>
                </c:pt>
                <c:pt idx="25">
                  <c:v>Relações ExtraUE</c:v>
                </c:pt>
                <c:pt idx="26">
                  <c:v>Saúde</c:v>
                </c:pt>
                <c:pt idx="27">
                  <c:v>Segurança</c:v>
                </c:pt>
                <c:pt idx="28">
                  <c:v>Segurança Online</c:v>
                </c:pt>
                <c:pt idx="29">
                  <c:v>Terrorismo</c:v>
                </c:pt>
                <c:pt idx="30">
                  <c:v>TiSA</c:v>
                </c:pt>
                <c:pt idx="31">
                  <c:v>TTIP</c:v>
                </c:pt>
              </c:strCache>
            </c:strRef>
          </c:cat>
          <c:val>
            <c:numRef>
              <c:f>'Interação - TEMA'!$H$299:$H$330</c:f>
              <c:numCache>
                <c:formatCode>0</c:formatCode>
                <c:ptCount val="32"/>
                <c:pt idx="0">
                  <c:v>101</c:v>
                </c:pt>
                <c:pt idx="1">
                  <c:v>57.421052631578945</c:v>
                </c:pt>
                <c:pt idx="2">
                  <c:v>52.621621621621621</c:v>
                </c:pt>
                <c:pt idx="3">
                  <c:v>110.33333333333333</c:v>
                </c:pt>
                <c:pt idx="4">
                  <c:v>32</c:v>
                </c:pt>
                <c:pt idx="5">
                  <c:v>27.4</c:v>
                </c:pt>
                <c:pt idx="6">
                  <c:v>49.333333333333336</c:v>
                </c:pt>
                <c:pt idx="7">
                  <c:v>76.222222222222229</c:v>
                </c:pt>
                <c:pt idx="8">
                  <c:v>55.857142857142854</c:v>
                </c:pt>
                <c:pt idx="9">
                  <c:v>86.714285714285708</c:v>
                </c:pt>
                <c:pt idx="10">
                  <c:v>106.5</c:v>
                </c:pt>
                <c:pt idx="11">
                  <c:v>39</c:v>
                </c:pt>
                <c:pt idx="12">
                  <c:v>81.538461538461533</c:v>
                </c:pt>
                <c:pt idx="13">
                  <c:v>48.526315789473685</c:v>
                </c:pt>
                <c:pt idx="14">
                  <c:v>24.666666666666668</c:v>
                </c:pt>
                <c:pt idx="15">
                  <c:v>62</c:v>
                </c:pt>
                <c:pt idx="16">
                  <c:v>70</c:v>
                </c:pt>
                <c:pt idx="17">
                  <c:v>64</c:v>
                </c:pt>
                <c:pt idx="18">
                  <c:v>88.125</c:v>
                </c:pt>
                <c:pt idx="19">
                  <c:v>142</c:v>
                </c:pt>
                <c:pt idx="20">
                  <c:v>56.5</c:v>
                </c:pt>
                <c:pt idx="21">
                  <c:v>46.5</c:v>
                </c:pt>
                <c:pt idx="22">
                  <c:v>99.285714285714292</c:v>
                </c:pt>
                <c:pt idx="23">
                  <c:v>160.8235294117647</c:v>
                </c:pt>
                <c:pt idx="24">
                  <c:v>70.5</c:v>
                </c:pt>
                <c:pt idx="25">
                  <c:v>59</c:v>
                </c:pt>
                <c:pt idx="26">
                  <c:v>45.166666666666664</c:v>
                </c:pt>
                <c:pt idx="27">
                  <c:v>198</c:v>
                </c:pt>
                <c:pt idx="28">
                  <c:v>38.142857142857146</c:v>
                </c:pt>
                <c:pt idx="29">
                  <c:v>114.05882352941177</c:v>
                </c:pt>
                <c:pt idx="30">
                  <c:v>30.333333333333332</c:v>
                </c:pt>
                <c:pt idx="31">
                  <c:v>38.857142857142854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C-4AAE-A186-37779BC19DCC}"/>
            </c:ext>
          </c:extLst>
        </c:ser>
        <c:ser>
          <c:idx val="2"/>
          <c:order val="2"/>
          <c:tx>
            <c:strRef>
              <c:f>'Interação - TEMA'!$I$298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TEMA'!$B$299:$B$330</c:f>
              <c:strCache>
                <c:ptCount val="32"/>
                <c:pt idx="0">
                  <c:v>Adesão Turquia</c:v>
                </c:pt>
                <c:pt idx="1">
                  <c:v>Ambiente</c:v>
                </c:pt>
                <c:pt idx="2">
                  <c:v>Atividades PE</c:v>
                </c:pt>
                <c:pt idx="3">
                  <c:v>Brexit</c:v>
                </c:pt>
                <c:pt idx="4">
                  <c:v>Ciência</c:v>
                </c:pt>
                <c:pt idx="5">
                  <c:v>Cultura</c:v>
                </c:pt>
                <c:pt idx="6">
                  <c:v>D&amp;C</c:v>
                </c:pt>
                <c:pt idx="7">
                  <c:v>DH</c:v>
                </c:pt>
                <c:pt idx="8">
                  <c:v>Economia</c:v>
                </c:pt>
                <c:pt idx="9">
                  <c:v>Efeméride</c:v>
                </c:pt>
                <c:pt idx="10">
                  <c:v>Energia</c:v>
                </c:pt>
                <c:pt idx="11">
                  <c:v>Financiamento Europeu</c:v>
                </c:pt>
                <c:pt idx="12">
                  <c:v>Faits-Divers</c:v>
                </c:pt>
                <c:pt idx="13">
                  <c:v>Informações Úteis</c:v>
                </c:pt>
                <c:pt idx="14">
                  <c:v>Juventude</c:v>
                </c:pt>
                <c:pt idx="15">
                  <c:v>Multiculturalismo</c:v>
                </c:pt>
                <c:pt idx="16">
                  <c:v>Multilinguismo</c:v>
                </c:pt>
                <c:pt idx="17">
                  <c:v>Outros</c:v>
                </c:pt>
                <c:pt idx="18">
                  <c:v>Passatempos</c:v>
                </c:pt>
                <c:pt idx="19">
                  <c:v>Presidência Holandesa</c:v>
                </c:pt>
                <c:pt idx="20">
                  <c:v>Presidente PE</c:v>
                </c:pt>
                <c:pt idx="21">
                  <c:v>Raif Badawi</c:v>
                </c:pt>
                <c:pt idx="22">
                  <c:v>Redes Sociais</c:v>
                </c:pt>
                <c:pt idx="23">
                  <c:v>Refugiados</c:v>
                </c:pt>
                <c:pt idx="24">
                  <c:v>Relações EM</c:v>
                </c:pt>
                <c:pt idx="25">
                  <c:v>Relações ExtraUE</c:v>
                </c:pt>
                <c:pt idx="26">
                  <c:v>Saúde</c:v>
                </c:pt>
                <c:pt idx="27">
                  <c:v>Segurança</c:v>
                </c:pt>
                <c:pt idx="28">
                  <c:v>Segurança Online</c:v>
                </c:pt>
                <c:pt idx="29">
                  <c:v>Terrorismo</c:v>
                </c:pt>
                <c:pt idx="30">
                  <c:v>TiSA</c:v>
                </c:pt>
                <c:pt idx="31">
                  <c:v>TTIP</c:v>
                </c:pt>
              </c:strCache>
            </c:strRef>
          </c:cat>
          <c:val>
            <c:numRef>
              <c:f>'Interação - TEMA'!$I$299:$I$330</c:f>
              <c:numCache>
                <c:formatCode>0</c:formatCode>
                <c:ptCount val="32"/>
                <c:pt idx="0">
                  <c:v>61</c:v>
                </c:pt>
                <c:pt idx="1">
                  <c:v>130.10526315789474</c:v>
                </c:pt>
                <c:pt idx="2">
                  <c:v>66.945945945945951</c:v>
                </c:pt>
                <c:pt idx="3">
                  <c:v>85</c:v>
                </c:pt>
                <c:pt idx="4">
                  <c:v>83</c:v>
                </c:pt>
                <c:pt idx="5">
                  <c:v>50.2</c:v>
                </c:pt>
                <c:pt idx="6">
                  <c:v>131</c:v>
                </c:pt>
                <c:pt idx="7">
                  <c:v>1164.3333333333333</c:v>
                </c:pt>
                <c:pt idx="8">
                  <c:v>125.71428571428571</c:v>
                </c:pt>
                <c:pt idx="9">
                  <c:v>178.57142857142858</c:v>
                </c:pt>
                <c:pt idx="10">
                  <c:v>463</c:v>
                </c:pt>
                <c:pt idx="11">
                  <c:v>109.5</c:v>
                </c:pt>
                <c:pt idx="12">
                  <c:v>149.38461538461539</c:v>
                </c:pt>
                <c:pt idx="13">
                  <c:v>67.736842105263165</c:v>
                </c:pt>
                <c:pt idx="14">
                  <c:v>44.5</c:v>
                </c:pt>
                <c:pt idx="15">
                  <c:v>118.66666666666667</c:v>
                </c:pt>
                <c:pt idx="16">
                  <c:v>174</c:v>
                </c:pt>
                <c:pt idx="17">
                  <c:v>66</c:v>
                </c:pt>
                <c:pt idx="18">
                  <c:v>76</c:v>
                </c:pt>
                <c:pt idx="19">
                  <c:v>118.25</c:v>
                </c:pt>
                <c:pt idx="20">
                  <c:v>31.5</c:v>
                </c:pt>
                <c:pt idx="21">
                  <c:v>513.75</c:v>
                </c:pt>
                <c:pt idx="22">
                  <c:v>95</c:v>
                </c:pt>
                <c:pt idx="23">
                  <c:v>441.05882352941177</c:v>
                </c:pt>
                <c:pt idx="24">
                  <c:v>70.25</c:v>
                </c:pt>
                <c:pt idx="25">
                  <c:v>51.333333333333336</c:v>
                </c:pt>
                <c:pt idx="26">
                  <c:v>147.33333333333334</c:v>
                </c:pt>
                <c:pt idx="27">
                  <c:v>1530</c:v>
                </c:pt>
                <c:pt idx="28">
                  <c:v>77.714285714285708</c:v>
                </c:pt>
                <c:pt idx="29">
                  <c:v>204.29411764705881</c:v>
                </c:pt>
                <c:pt idx="30">
                  <c:v>25.666666666666668</c:v>
                </c:pt>
                <c:pt idx="31">
                  <c:v>49.714285714285715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9C-4AAE-A186-37779BC19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64240"/>
        <c:axId val="887062608"/>
      </c:barChart>
      <c:catAx>
        <c:axId val="887064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2608"/>
        <c:crosses val="autoZero"/>
        <c:auto val="1"/>
        <c:lblAlgn val="ctr"/>
        <c:lblOffset val="100"/>
        <c:noMultiLvlLbl val="0"/>
      </c:catAx>
      <c:valAx>
        <c:axId val="88706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MÉDIA DE PARTICIPAÇÕES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</a:t>
            </a:r>
            <a:r>
              <a:rPr lang="pt-PT" sz="1200" b="0" i="0" u="none" strike="noStrike" cap="none" baseline="0">
                <a:effectLst/>
              </a:rPr>
              <a:t>Dimensão</a:t>
            </a:r>
            <a:r>
              <a:rPr lang="pt-PT" sz="1200">
                <a:solidFill>
                  <a:sysClr val="windowText" lastClr="000000"/>
                </a:solidFill>
              </a:rPr>
              <a:t> em Novembro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DIMENSÃO COM INSTIT'!$O$12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INSTIT'!$N$13:$N$18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INSTIT'!$O$13:$O$18</c:f>
              <c:numCache>
                <c:formatCode>0</c:formatCode>
                <c:ptCount val="6"/>
                <c:pt idx="0">
                  <c:v>1219</c:v>
                </c:pt>
                <c:pt idx="1">
                  <c:v>530.15384615384619</c:v>
                </c:pt>
                <c:pt idx="2">
                  <c:v>2281.8000000000002</c:v>
                </c:pt>
                <c:pt idx="3">
                  <c:v>2695.4615384615386</c:v>
                </c:pt>
                <c:pt idx="4">
                  <c:v>539.5</c:v>
                </c:pt>
                <c:pt idx="5">
                  <c:v>735.34615384615381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6-459F-B04F-0770410AA303}"/>
            </c:ext>
          </c:extLst>
        </c:ser>
        <c:ser>
          <c:idx val="1"/>
          <c:order val="1"/>
          <c:tx>
            <c:strRef>
              <c:f>'Interação - DIMENSÃO COM INSTIT'!$P$12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INSTIT'!$N$13:$N$18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INSTIT'!$P$13:$P$18</c:f>
              <c:numCache>
                <c:formatCode>0</c:formatCode>
                <c:ptCount val="6"/>
                <c:pt idx="0">
                  <c:v>222</c:v>
                </c:pt>
                <c:pt idx="1">
                  <c:v>89.307692307692307</c:v>
                </c:pt>
                <c:pt idx="2">
                  <c:v>164</c:v>
                </c:pt>
                <c:pt idx="3">
                  <c:v>87.307692307692307</c:v>
                </c:pt>
                <c:pt idx="4">
                  <c:v>147</c:v>
                </c:pt>
                <c:pt idx="5">
                  <c:v>72.038461538461533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6-459F-B04F-0770410AA303}"/>
            </c:ext>
          </c:extLst>
        </c:ser>
        <c:ser>
          <c:idx val="2"/>
          <c:order val="2"/>
          <c:tx>
            <c:strRef>
              <c:f>'Interação - DIMENSÃO COM INSTIT'!$Q$12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INSTIT'!$N$13:$N$18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INSTIT'!$Q$13:$Q$18</c:f>
              <c:numCache>
                <c:formatCode>0</c:formatCode>
                <c:ptCount val="6"/>
                <c:pt idx="0">
                  <c:v>213</c:v>
                </c:pt>
                <c:pt idx="1">
                  <c:v>149.76923076923077</c:v>
                </c:pt>
                <c:pt idx="2">
                  <c:v>342.4</c:v>
                </c:pt>
                <c:pt idx="3">
                  <c:v>157.61538461538461</c:v>
                </c:pt>
                <c:pt idx="4">
                  <c:v>91.5</c:v>
                </c:pt>
                <c:pt idx="5">
                  <c:v>137.11538461538461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86-459F-B04F-0770410AA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62064"/>
        <c:axId val="887063696"/>
      </c:barChart>
      <c:catAx>
        <c:axId val="887062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Dimensão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3696"/>
        <c:crosses val="autoZero"/>
        <c:auto val="1"/>
        <c:lblAlgn val="ctr"/>
        <c:lblOffset val="100"/>
        <c:noMultiLvlLbl val="0"/>
      </c:catAx>
      <c:valAx>
        <c:axId val="88706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Dimensão DEZEMBRO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DIMENSÃO COM INSTIT'!$O$82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INSTIT'!$N$83:$N$87</c:f>
              <c:strCache>
                <c:ptCount val="5"/>
                <c:pt idx="0">
                  <c:v>Demarcação</c:v>
                </c:pt>
                <c:pt idx="1">
                  <c:v>Discussão pública</c:v>
                </c:pt>
                <c:pt idx="2">
                  <c:v>Proximidade</c:v>
                </c:pt>
                <c:pt idx="3">
                  <c:v>Transparência</c:v>
                </c:pt>
                <c:pt idx="4">
                  <c:v>Visibilidade</c:v>
                </c:pt>
              </c:strCache>
            </c:strRef>
          </c:cat>
          <c:val>
            <c:numRef>
              <c:f>'Interação - DIMENSÃO COM INSTIT'!$O$83:$O$87</c:f>
              <c:numCache>
                <c:formatCode>0</c:formatCode>
                <c:ptCount val="5"/>
                <c:pt idx="0">
                  <c:v>807</c:v>
                </c:pt>
                <c:pt idx="1">
                  <c:v>471.5</c:v>
                </c:pt>
                <c:pt idx="2">
                  <c:v>1219.8421052631579</c:v>
                </c:pt>
                <c:pt idx="3">
                  <c:v>251</c:v>
                </c:pt>
                <c:pt idx="4">
                  <c:v>675.07142857142856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3-40F9-AA69-1747F0A5A88F}"/>
            </c:ext>
          </c:extLst>
        </c:ser>
        <c:ser>
          <c:idx val="1"/>
          <c:order val="1"/>
          <c:tx>
            <c:strRef>
              <c:f>'Interação - DIMENSÃO COM INSTIT'!$P$82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INSTIT'!$N$83:$N$87</c:f>
              <c:strCache>
                <c:ptCount val="5"/>
                <c:pt idx="0">
                  <c:v>Demarcação</c:v>
                </c:pt>
                <c:pt idx="1">
                  <c:v>Discussão pública</c:v>
                </c:pt>
                <c:pt idx="2">
                  <c:v>Proximidade</c:v>
                </c:pt>
                <c:pt idx="3">
                  <c:v>Transparência</c:v>
                </c:pt>
                <c:pt idx="4">
                  <c:v>Visibilidade</c:v>
                </c:pt>
              </c:strCache>
            </c:strRef>
          </c:cat>
          <c:val>
            <c:numRef>
              <c:f>'Interação - DIMENSÃO COM INSTIT'!$P$83:$P$87</c:f>
              <c:numCache>
                <c:formatCode>0</c:formatCode>
                <c:ptCount val="5"/>
                <c:pt idx="0">
                  <c:v>83</c:v>
                </c:pt>
                <c:pt idx="1">
                  <c:v>74.166666666666671</c:v>
                </c:pt>
                <c:pt idx="2">
                  <c:v>66.78947368421052</c:v>
                </c:pt>
                <c:pt idx="3">
                  <c:v>32.25</c:v>
                </c:pt>
                <c:pt idx="4">
                  <c:v>51.19047619047619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23-40F9-AA69-1747F0A5A88F}"/>
            </c:ext>
          </c:extLst>
        </c:ser>
        <c:ser>
          <c:idx val="2"/>
          <c:order val="2"/>
          <c:tx>
            <c:strRef>
              <c:f>'Interação - DIMENSÃO COM INSTIT'!$Q$82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INSTIT'!$N$83:$N$87</c:f>
              <c:strCache>
                <c:ptCount val="5"/>
                <c:pt idx="0">
                  <c:v>Demarcação</c:v>
                </c:pt>
                <c:pt idx="1">
                  <c:v>Discussão pública</c:v>
                </c:pt>
                <c:pt idx="2">
                  <c:v>Proximidade</c:v>
                </c:pt>
                <c:pt idx="3">
                  <c:v>Transparência</c:v>
                </c:pt>
                <c:pt idx="4">
                  <c:v>Visibilidade</c:v>
                </c:pt>
              </c:strCache>
            </c:strRef>
          </c:cat>
          <c:val>
            <c:numRef>
              <c:f>'Interação - DIMENSÃO COM INSTIT'!$Q$83:$Q$87</c:f>
              <c:numCache>
                <c:formatCode>0</c:formatCode>
                <c:ptCount val="5"/>
                <c:pt idx="0">
                  <c:v>167</c:v>
                </c:pt>
                <c:pt idx="1">
                  <c:v>144</c:v>
                </c:pt>
                <c:pt idx="2">
                  <c:v>125.73684210526316</c:v>
                </c:pt>
                <c:pt idx="3">
                  <c:v>42.75</c:v>
                </c:pt>
                <c:pt idx="4">
                  <c:v>176.52380952380952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23-40F9-AA69-1747F0A5A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53904"/>
        <c:axId val="887064784"/>
      </c:barChart>
      <c:catAx>
        <c:axId val="88705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Dimensão</a:t>
                </a:r>
                <a:r>
                  <a:rPr lang="pt-PT">
                    <a:solidFill>
                      <a:sysClr val="windowText" lastClr="000000"/>
                    </a:solidFill>
                  </a:rPr>
                  <a:t>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4784"/>
        <c:crosses val="autoZero"/>
        <c:auto val="1"/>
        <c:lblAlgn val="ctr"/>
        <c:lblOffset val="100"/>
        <c:noMultiLvlLbl val="0"/>
      </c:catAx>
      <c:valAx>
        <c:axId val="88706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5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Dimensão JANEIRO 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DIMENSÃO COM INSTIT'!$O$164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INSTIT'!$N$165:$N$170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INSTIT'!$O$165:$O$170</c:f>
              <c:numCache>
                <c:formatCode>0</c:formatCode>
                <c:ptCount val="6"/>
                <c:pt idx="0">
                  <c:v>224</c:v>
                </c:pt>
                <c:pt idx="1">
                  <c:v>465.5</c:v>
                </c:pt>
                <c:pt idx="2">
                  <c:v>193</c:v>
                </c:pt>
                <c:pt idx="3">
                  <c:v>1544.1428571428571</c:v>
                </c:pt>
                <c:pt idx="4">
                  <c:v>200.25</c:v>
                </c:pt>
                <c:pt idx="5">
                  <c:v>598.48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2-4AA8-86A9-59729DE6BD18}"/>
            </c:ext>
          </c:extLst>
        </c:ser>
        <c:ser>
          <c:idx val="1"/>
          <c:order val="1"/>
          <c:tx>
            <c:strRef>
              <c:f>'Interação - DIMENSÃO COM INSTIT'!$P$164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INSTIT'!$N$165:$N$170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INSTIT'!$P$165:$P$170</c:f>
              <c:numCache>
                <c:formatCode>0</c:formatCode>
                <c:ptCount val="6"/>
                <c:pt idx="0">
                  <c:v>80</c:v>
                </c:pt>
                <c:pt idx="1">
                  <c:v>81.285714285714292</c:v>
                </c:pt>
                <c:pt idx="2">
                  <c:v>37</c:v>
                </c:pt>
                <c:pt idx="3">
                  <c:v>71.642857142857139</c:v>
                </c:pt>
                <c:pt idx="4">
                  <c:v>51.25</c:v>
                </c:pt>
                <c:pt idx="5">
                  <c:v>71.56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2-4AA8-86A9-59729DE6BD18}"/>
            </c:ext>
          </c:extLst>
        </c:ser>
        <c:ser>
          <c:idx val="2"/>
          <c:order val="2"/>
          <c:tx>
            <c:strRef>
              <c:f>'Interação - DIMENSÃO COM INSTIT'!$Q$164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INSTIT'!$N$165:$N$170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INSTIT'!$Q$165:$Q$170</c:f>
              <c:numCache>
                <c:formatCode>0</c:formatCode>
                <c:ptCount val="6"/>
                <c:pt idx="0">
                  <c:v>32</c:v>
                </c:pt>
                <c:pt idx="1">
                  <c:v>119.78571428571429</c:v>
                </c:pt>
                <c:pt idx="2">
                  <c:v>37</c:v>
                </c:pt>
                <c:pt idx="3">
                  <c:v>648.14285714285711</c:v>
                </c:pt>
                <c:pt idx="4">
                  <c:v>53</c:v>
                </c:pt>
                <c:pt idx="5">
                  <c:v>101.24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32-4AA8-86A9-59729DE6B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57712"/>
        <c:axId val="887068592"/>
      </c:barChart>
      <c:catAx>
        <c:axId val="887057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Dimensão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8592"/>
        <c:crosses val="autoZero"/>
        <c:auto val="1"/>
        <c:lblAlgn val="ctr"/>
        <c:lblOffset val="100"/>
        <c:noMultiLvlLbl val="0"/>
      </c:catAx>
      <c:valAx>
        <c:axId val="88706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5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Dimensão FEVEREIRO 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DIMENSÃO COM INSTIT'!$O$233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INSTIT'!$N$234:$N$238</c:f>
              <c:strCache>
                <c:ptCount val="5"/>
                <c:pt idx="0">
                  <c:v>Discussão pública</c:v>
                </c:pt>
                <c:pt idx="1">
                  <c:v>Posição</c:v>
                </c:pt>
                <c:pt idx="2">
                  <c:v>Proximidade</c:v>
                </c:pt>
                <c:pt idx="3">
                  <c:v>Transparência</c:v>
                </c:pt>
                <c:pt idx="4">
                  <c:v>Visibilidade</c:v>
                </c:pt>
              </c:strCache>
            </c:strRef>
          </c:cat>
          <c:val>
            <c:numRef>
              <c:f>'Interação - DIMENSÃO COM INSTIT'!$O$234:$O$238</c:f>
              <c:numCache>
                <c:formatCode>0</c:formatCode>
                <c:ptCount val="5"/>
                <c:pt idx="0">
                  <c:v>271</c:v>
                </c:pt>
                <c:pt idx="1">
                  <c:v>359.5</c:v>
                </c:pt>
                <c:pt idx="2">
                  <c:v>747</c:v>
                </c:pt>
                <c:pt idx="3">
                  <c:v>231.33333333333334</c:v>
                </c:pt>
                <c:pt idx="4">
                  <c:v>1612.2222222222222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E-4C5E-8544-D50DC95556DE}"/>
            </c:ext>
          </c:extLst>
        </c:ser>
        <c:ser>
          <c:idx val="1"/>
          <c:order val="1"/>
          <c:tx>
            <c:strRef>
              <c:f>'Interação - DIMENSÃO COM INSTIT'!$P$233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INSTIT'!$N$234:$N$238</c:f>
              <c:strCache>
                <c:ptCount val="5"/>
                <c:pt idx="0">
                  <c:v>Discussão pública</c:v>
                </c:pt>
                <c:pt idx="1">
                  <c:v>Posição</c:v>
                </c:pt>
                <c:pt idx="2">
                  <c:v>Proximidade</c:v>
                </c:pt>
                <c:pt idx="3">
                  <c:v>Transparência</c:v>
                </c:pt>
                <c:pt idx="4">
                  <c:v>Visibilidade</c:v>
                </c:pt>
              </c:strCache>
            </c:strRef>
          </c:cat>
          <c:val>
            <c:numRef>
              <c:f>'Interação - DIMENSÃO COM INSTIT'!$P$234:$P$238</c:f>
              <c:numCache>
                <c:formatCode>0</c:formatCode>
                <c:ptCount val="5"/>
                <c:pt idx="0">
                  <c:v>62.111111111111114</c:v>
                </c:pt>
                <c:pt idx="1">
                  <c:v>82.5</c:v>
                </c:pt>
                <c:pt idx="2">
                  <c:v>57.6875</c:v>
                </c:pt>
                <c:pt idx="3">
                  <c:v>46.166666666666664</c:v>
                </c:pt>
                <c:pt idx="4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9E-4C5E-8544-D50DC95556DE}"/>
            </c:ext>
          </c:extLst>
        </c:ser>
        <c:ser>
          <c:idx val="2"/>
          <c:order val="2"/>
          <c:tx>
            <c:strRef>
              <c:f>'Interação - DIMENSÃO COM INSTIT'!$Q$233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INSTIT'!$N$234:$N$238</c:f>
              <c:strCache>
                <c:ptCount val="5"/>
                <c:pt idx="0">
                  <c:v>Discussão pública</c:v>
                </c:pt>
                <c:pt idx="1">
                  <c:v>Posição</c:v>
                </c:pt>
                <c:pt idx="2">
                  <c:v>Proximidade</c:v>
                </c:pt>
                <c:pt idx="3">
                  <c:v>Transparência</c:v>
                </c:pt>
                <c:pt idx="4">
                  <c:v>Visibilidade</c:v>
                </c:pt>
              </c:strCache>
            </c:strRef>
          </c:cat>
          <c:val>
            <c:numRef>
              <c:f>'Interação - DIMENSÃO COM INSTIT'!$Q$234:$Q$238</c:f>
              <c:numCache>
                <c:formatCode>0</c:formatCode>
                <c:ptCount val="5"/>
                <c:pt idx="0">
                  <c:v>80.777777777777771</c:v>
                </c:pt>
                <c:pt idx="1">
                  <c:v>63</c:v>
                </c:pt>
                <c:pt idx="2">
                  <c:v>103.25</c:v>
                </c:pt>
                <c:pt idx="3">
                  <c:v>49.666666666666664</c:v>
                </c:pt>
                <c:pt idx="4">
                  <c:v>582.14814814814815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9E-4C5E-8544-D50DC9555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65328"/>
        <c:axId val="887065872"/>
      </c:barChart>
      <c:catAx>
        <c:axId val="887065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Dimensão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5872"/>
        <c:crosses val="autoZero"/>
        <c:auto val="1"/>
        <c:lblAlgn val="ctr"/>
        <c:lblOffset val="100"/>
        <c:noMultiLvlLbl val="0"/>
      </c:catAx>
      <c:valAx>
        <c:axId val="88706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Média de Participações</a:t>
            </a:r>
            <a:r>
              <a:rPr lang="pt-PT" sz="1200" baseline="0">
                <a:solidFill>
                  <a:sysClr val="windowText" lastClr="000000"/>
                </a:solidFill>
              </a:rPr>
              <a:t> </a:t>
            </a:r>
            <a:r>
              <a:rPr lang="pt-PT" sz="1200" b="0" i="0" u="none" strike="noStrike" cap="none" baseline="0">
                <a:effectLst/>
              </a:rPr>
              <a:t>por publicação em relação </a:t>
            </a:r>
            <a:r>
              <a:rPr lang="pt-PT" sz="1200">
                <a:solidFill>
                  <a:sysClr val="windowText" lastClr="000000"/>
                </a:solidFill>
              </a:rPr>
              <a:t>à DIMENSÃO DE COMUNICAÇÃO INSTITUCIONAL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DIMENSÃO COM INSTIT'!$G$306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INSTIT'!$B$307:$B$312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INSTIT'!$G$307:$G$312</c:f>
              <c:numCache>
                <c:formatCode>0</c:formatCode>
                <c:ptCount val="6"/>
                <c:pt idx="0">
                  <c:v>867.25</c:v>
                </c:pt>
                <c:pt idx="1">
                  <c:v>444.6904761904762</c:v>
                </c:pt>
                <c:pt idx="2">
                  <c:v>1540.125</c:v>
                </c:pt>
                <c:pt idx="3">
                  <c:v>1480.4516129032259</c:v>
                </c:pt>
                <c:pt idx="4">
                  <c:v>267</c:v>
                </c:pt>
                <c:pt idx="5">
                  <c:v>883.0333333333333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9-4322-A32E-81C8971428E6}"/>
            </c:ext>
          </c:extLst>
        </c:ser>
        <c:ser>
          <c:idx val="1"/>
          <c:order val="1"/>
          <c:tx>
            <c:strRef>
              <c:f>'Interação - DIMENSÃO COM INSTIT'!$H$306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INSTIT'!$B$307:$B$312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INSTIT'!$H$307:$H$312</c:f>
              <c:numCache>
                <c:formatCode>0</c:formatCode>
                <c:ptCount val="6"/>
                <c:pt idx="0">
                  <c:v>151.75</c:v>
                </c:pt>
                <c:pt idx="1">
                  <c:v>78.642857142857139</c:v>
                </c:pt>
                <c:pt idx="2">
                  <c:v>127.75</c:v>
                </c:pt>
                <c:pt idx="3">
                  <c:v>69.838709677419359</c:v>
                </c:pt>
                <c:pt idx="4">
                  <c:v>56.5625</c:v>
                </c:pt>
                <c:pt idx="5">
                  <c:v>72.50833333333334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79-4322-A32E-81C8971428E6}"/>
            </c:ext>
          </c:extLst>
        </c:ser>
        <c:ser>
          <c:idx val="2"/>
          <c:order val="2"/>
          <c:tx>
            <c:strRef>
              <c:f>'Interação - DIMENSÃO COM INSTIT'!$I$306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INSTIT'!$B$307:$B$312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INSTIT'!$I$307:$I$312</c:f>
              <c:numCache>
                <c:formatCode>0</c:formatCode>
                <c:ptCount val="6"/>
                <c:pt idx="0">
                  <c:v>156.25</c:v>
                </c:pt>
                <c:pt idx="1">
                  <c:v>124.16666666666667</c:v>
                </c:pt>
                <c:pt idx="2">
                  <c:v>234.375</c:v>
                </c:pt>
                <c:pt idx="3">
                  <c:v>244.58064516129033</c:v>
                </c:pt>
                <c:pt idx="4">
                  <c:v>54</c:v>
                </c:pt>
                <c:pt idx="5">
                  <c:v>243.56666666666666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79-4322-A32E-81C897142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68048"/>
        <c:axId val="887069136"/>
      </c:barChart>
      <c:catAx>
        <c:axId val="887068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dimensão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9136"/>
        <c:crosses val="autoZero"/>
        <c:auto val="1"/>
        <c:lblAlgn val="ctr"/>
        <c:lblOffset val="100"/>
        <c:noMultiLvlLbl val="0"/>
      </c:catAx>
      <c:valAx>
        <c:axId val="88706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Relação entre nº de publicações e tema (total do período analisado)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'Estratégia - TEMA'!$G$10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'Estratégia - TEMA'!$B$11:$B$42</c:f>
              <c:strCache>
                <c:ptCount val="32"/>
                <c:pt idx="0">
                  <c:v>Atividades PE</c:v>
                </c:pt>
                <c:pt idx="1">
                  <c:v>Ambiente</c:v>
                </c:pt>
                <c:pt idx="2">
                  <c:v>Informações Úteis</c:v>
                </c:pt>
                <c:pt idx="3">
                  <c:v>Refugiados</c:v>
                </c:pt>
                <c:pt idx="4">
                  <c:v>Terrorismo</c:v>
                </c:pt>
                <c:pt idx="5">
                  <c:v>Efemérides</c:v>
                </c:pt>
                <c:pt idx="6">
                  <c:v>Faits-Divers</c:v>
                </c:pt>
                <c:pt idx="7">
                  <c:v>Multilinguismo</c:v>
                </c:pt>
                <c:pt idx="8">
                  <c:v>Direitos Humanos</c:v>
                </c:pt>
                <c:pt idx="9">
                  <c:v>Passatempos</c:v>
                </c:pt>
                <c:pt idx="10">
                  <c:v>Economia</c:v>
                </c:pt>
                <c:pt idx="11">
                  <c:v>Redes Sociais</c:v>
                </c:pt>
                <c:pt idx="12">
                  <c:v>Segurança Online</c:v>
                </c:pt>
                <c:pt idx="13">
                  <c:v>TTIP</c:v>
                </c:pt>
                <c:pt idx="14">
                  <c:v>Juventude</c:v>
                </c:pt>
                <c:pt idx="15">
                  <c:v>Saúde</c:v>
                </c:pt>
                <c:pt idx="16">
                  <c:v>Segurança</c:v>
                </c:pt>
                <c:pt idx="17">
                  <c:v>Cultura</c:v>
                </c:pt>
                <c:pt idx="18">
                  <c:v>Presidência Holandesa</c:v>
                </c:pt>
                <c:pt idx="19">
                  <c:v>Raif Badawi</c:v>
                </c:pt>
                <c:pt idx="20">
                  <c:v>Relações EM</c:v>
                </c:pt>
                <c:pt idx="21">
                  <c:v>Brexit</c:v>
                </c:pt>
                <c:pt idx="22">
                  <c:v>D&amp;C</c:v>
                </c:pt>
                <c:pt idx="23">
                  <c:v>Multiculturalismo</c:v>
                </c:pt>
                <c:pt idx="24">
                  <c:v>Outros</c:v>
                </c:pt>
                <c:pt idx="25">
                  <c:v>Relações ExtraUE</c:v>
                </c:pt>
                <c:pt idx="26">
                  <c:v>TiSA</c:v>
                </c:pt>
                <c:pt idx="27">
                  <c:v>Energia</c:v>
                </c:pt>
                <c:pt idx="28">
                  <c:v>Financiamento Europeu</c:v>
                </c:pt>
                <c:pt idx="29">
                  <c:v>Presidente PE</c:v>
                </c:pt>
                <c:pt idx="30">
                  <c:v>Adesão Turquia</c:v>
                </c:pt>
                <c:pt idx="31">
                  <c:v>Ciência</c:v>
                </c:pt>
              </c:strCache>
            </c:strRef>
          </c:cat>
          <c:val>
            <c:numRef>
              <c:f>'Estratégia - TEMA'!$G$11:$G$42</c:f>
              <c:numCache>
                <c:formatCode>General</c:formatCode>
                <c:ptCount val="32"/>
                <c:pt idx="0">
                  <c:v>37</c:v>
                </c:pt>
                <c:pt idx="1">
                  <c:v>19</c:v>
                </c:pt>
                <c:pt idx="2">
                  <c:v>19</c:v>
                </c:pt>
                <c:pt idx="3">
                  <c:v>17</c:v>
                </c:pt>
                <c:pt idx="4">
                  <c:v>17</c:v>
                </c:pt>
                <c:pt idx="5">
                  <c:v>14</c:v>
                </c:pt>
                <c:pt idx="6">
                  <c:v>13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0-44F2-9A27-8258A06FF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06485136"/>
        <c:axId val="806478064"/>
      </c:barChart>
      <c:catAx>
        <c:axId val="806485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PT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478064"/>
        <c:crosses val="autoZero"/>
        <c:auto val="1"/>
        <c:lblAlgn val="ctr"/>
        <c:lblOffset val="100"/>
        <c:noMultiLvlLbl val="0"/>
      </c:catAx>
      <c:valAx>
        <c:axId val="80647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lang="en-US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Nº PUBLICAÇÕES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>
                <a:defRPr lang="en-US"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PT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48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Média de Participações</a:t>
            </a:r>
            <a:r>
              <a:rPr lang="pt-PT" sz="1200" b="0" i="0" u="none" strike="noStrike" cap="none" baseline="0">
                <a:effectLst/>
              </a:rPr>
              <a:t> por publicação em relação à </a:t>
            </a:r>
            <a:r>
              <a:rPr lang="pt-PT" sz="1200">
                <a:solidFill>
                  <a:sysClr val="windowText" lastClr="000000"/>
                </a:solidFill>
              </a:rPr>
              <a:t>DIMENSÃO DE COMUNICAÇÃO INSTITUCIONAL (sem valor desviante)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DIMENSÃO COM INSTIT'!$G$306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INSTIT'!$B$328:$B$333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INSTIT'!$G$328:$G$333</c:f>
              <c:numCache>
                <c:formatCode>0</c:formatCode>
                <c:ptCount val="6"/>
                <c:pt idx="0">
                  <c:v>867.25</c:v>
                </c:pt>
                <c:pt idx="1">
                  <c:v>444.6904761904762</c:v>
                </c:pt>
                <c:pt idx="2">
                  <c:v>1540.125</c:v>
                </c:pt>
                <c:pt idx="3">
                  <c:v>1480.4516129032259</c:v>
                </c:pt>
                <c:pt idx="4">
                  <c:v>267</c:v>
                </c:pt>
                <c:pt idx="5">
                  <c:v>883.0333333333333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7-4300-8F7A-3A307AF8C261}"/>
            </c:ext>
          </c:extLst>
        </c:ser>
        <c:ser>
          <c:idx val="1"/>
          <c:order val="1"/>
          <c:tx>
            <c:strRef>
              <c:f>'Interação - DIMENSÃO COM INSTIT'!$H$306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INSTIT'!$B$328:$B$333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INSTIT'!$H$328:$H$333</c:f>
              <c:numCache>
                <c:formatCode>0</c:formatCode>
                <c:ptCount val="6"/>
                <c:pt idx="0">
                  <c:v>66.25</c:v>
                </c:pt>
                <c:pt idx="1">
                  <c:v>78.642857142857139</c:v>
                </c:pt>
                <c:pt idx="2">
                  <c:v>127.75</c:v>
                </c:pt>
                <c:pt idx="3">
                  <c:v>69.838709677419359</c:v>
                </c:pt>
                <c:pt idx="4">
                  <c:v>56.5625</c:v>
                </c:pt>
                <c:pt idx="5">
                  <c:v>72.50833333333334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7-4300-8F7A-3A307AF8C261}"/>
            </c:ext>
          </c:extLst>
        </c:ser>
        <c:ser>
          <c:idx val="2"/>
          <c:order val="2"/>
          <c:tx>
            <c:strRef>
              <c:f>'Interação - DIMENSÃO COM INSTIT'!$I$306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DIMENSÃO COM INSTIT'!$B$328:$B$333</c:f>
              <c:strCache>
                <c:ptCount val="6"/>
                <c:pt idx="0">
                  <c:v>Demarcação</c:v>
                </c:pt>
                <c:pt idx="1">
                  <c:v>Discussão Pública</c:v>
                </c:pt>
                <c:pt idx="2">
                  <c:v>Posição</c:v>
                </c:pt>
                <c:pt idx="3">
                  <c:v>Proximidade</c:v>
                </c:pt>
                <c:pt idx="4">
                  <c:v>Transparência</c:v>
                </c:pt>
                <c:pt idx="5">
                  <c:v>Visibilidade</c:v>
                </c:pt>
              </c:strCache>
            </c:strRef>
          </c:cat>
          <c:val>
            <c:numRef>
              <c:f>'Interação - DIMENSÃO COM INSTIT'!$I$328:$I$333</c:f>
              <c:numCache>
                <c:formatCode>0</c:formatCode>
                <c:ptCount val="6"/>
                <c:pt idx="0">
                  <c:v>156.25</c:v>
                </c:pt>
                <c:pt idx="1">
                  <c:v>124.16666666666667</c:v>
                </c:pt>
                <c:pt idx="2">
                  <c:v>234.375</c:v>
                </c:pt>
                <c:pt idx="3">
                  <c:v>244.58064516129033</c:v>
                </c:pt>
                <c:pt idx="4">
                  <c:v>54</c:v>
                </c:pt>
                <c:pt idx="5">
                  <c:v>243.56666666666666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27-4300-8F7A-3A307AF8C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68048"/>
        <c:axId val="887069136"/>
      </c:barChart>
      <c:catAx>
        <c:axId val="887068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dimensão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9136"/>
        <c:crosses val="autoZero"/>
        <c:auto val="1"/>
        <c:lblAlgn val="ctr"/>
        <c:lblOffset val="100"/>
        <c:noMultiLvlLbl val="0"/>
      </c:catAx>
      <c:valAx>
        <c:axId val="88706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</a:t>
            </a:r>
            <a:r>
              <a:rPr lang="pt-PT" sz="1200" b="0" i="0" u="none" strike="noStrike" cap="none" baseline="0">
                <a:effectLst/>
              </a:rPr>
              <a:t>Tipo</a:t>
            </a:r>
            <a:r>
              <a:rPr lang="pt-PT" sz="1200">
                <a:solidFill>
                  <a:sysClr val="windowText" lastClr="000000"/>
                </a:solidFill>
              </a:rPr>
              <a:t> em Novembro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TIPO'!$O$12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TIPO'!$N$13:$N$17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TIPO'!$O$13:$O$17</c:f>
              <c:numCache>
                <c:formatCode>0</c:formatCode>
                <c:ptCount val="5"/>
                <c:pt idx="0">
                  <c:v>2640.75</c:v>
                </c:pt>
                <c:pt idx="1">
                  <c:v>3411.8</c:v>
                </c:pt>
                <c:pt idx="2">
                  <c:v>677.60465116279067</c:v>
                </c:pt>
                <c:pt idx="3">
                  <c:v>807</c:v>
                </c:pt>
                <c:pt idx="4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0-4A89-A912-661DF41BDC24}"/>
            </c:ext>
          </c:extLst>
        </c:ser>
        <c:ser>
          <c:idx val="1"/>
          <c:order val="1"/>
          <c:tx>
            <c:strRef>
              <c:f>'Interação - TIPO'!$P$12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TIPO'!$N$13:$N$17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TIPO'!$P$13:$P$17</c:f>
              <c:numCache>
                <c:formatCode>0</c:formatCode>
                <c:ptCount val="5"/>
                <c:pt idx="0">
                  <c:v>196.5</c:v>
                </c:pt>
                <c:pt idx="1">
                  <c:v>104.1</c:v>
                </c:pt>
                <c:pt idx="2">
                  <c:v>82.883720930232556</c:v>
                </c:pt>
                <c:pt idx="3">
                  <c:v>217</c:v>
                </c:pt>
                <c:pt idx="4">
                  <c:v>39.666666666666664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70-4A89-A912-661DF41BDC24}"/>
            </c:ext>
          </c:extLst>
        </c:ser>
        <c:ser>
          <c:idx val="2"/>
          <c:order val="2"/>
          <c:tx>
            <c:strRef>
              <c:f>'Interação - TIPO'!$Q$12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TIPO'!$N$13:$N$17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TIPO'!$Q$13:$Q$17</c:f>
              <c:numCache>
                <c:formatCode>0</c:formatCode>
                <c:ptCount val="5"/>
                <c:pt idx="0">
                  <c:v>382.5</c:v>
                </c:pt>
                <c:pt idx="1">
                  <c:v>191.6</c:v>
                </c:pt>
                <c:pt idx="2">
                  <c:v>138.88372093023256</c:v>
                </c:pt>
                <c:pt idx="3">
                  <c:v>123</c:v>
                </c:pt>
                <c:pt idx="4">
                  <c:v>113.66666666666667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70-4A89-A912-661DF41BD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59344"/>
        <c:axId val="887315936"/>
      </c:barChart>
      <c:catAx>
        <c:axId val="88705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Dimensão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15936"/>
        <c:crosses val="autoZero"/>
        <c:auto val="1"/>
        <c:lblAlgn val="ctr"/>
        <c:lblOffset val="100"/>
        <c:noMultiLvlLbl val="0"/>
      </c:catAx>
      <c:valAx>
        <c:axId val="88731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59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</a:t>
            </a:r>
            <a:r>
              <a:rPr lang="pt-PT" sz="1200" b="0" i="0" u="none" strike="noStrike" cap="none" baseline="0">
                <a:effectLst/>
              </a:rPr>
              <a:t>Tipo </a:t>
            </a:r>
            <a:r>
              <a:rPr lang="pt-PT" sz="1200">
                <a:solidFill>
                  <a:sysClr val="windowText" lastClr="000000"/>
                </a:solidFill>
              </a:rPr>
              <a:t> DEZEMBRO 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TIPO'!$O$82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TIPO'!$N$83:$N$87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TIPO'!$O$83:$O$87</c:f>
              <c:numCache>
                <c:formatCode>0</c:formatCode>
                <c:ptCount val="5"/>
                <c:pt idx="0">
                  <c:v>693</c:v>
                </c:pt>
                <c:pt idx="1">
                  <c:v>1423</c:v>
                </c:pt>
                <c:pt idx="2">
                  <c:v>491.90697674418607</c:v>
                </c:pt>
                <c:pt idx="3">
                  <c:v>473.75</c:v>
                </c:pt>
                <c:pt idx="4">
                  <c:v>1224.5999999999999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F-48D7-AC6F-FE2D19D40AFA}"/>
            </c:ext>
          </c:extLst>
        </c:ser>
        <c:ser>
          <c:idx val="1"/>
          <c:order val="1"/>
          <c:tx>
            <c:strRef>
              <c:f>'Interação - TIPO'!$P$82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TIPO'!$N$83:$N$87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TIPO'!$P$83:$P$87</c:f>
              <c:numCache>
                <c:formatCode>0</c:formatCode>
                <c:ptCount val="5"/>
                <c:pt idx="0">
                  <c:v>98</c:v>
                </c:pt>
                <c:pt idx="1">
                  <c:v>79.055555555555557</c:v>
                </c:pt>
                <c:pt idx="2">
                  <c:v>48.255813953488371</c:v>
                </c:pt>
                <c:pt idx="3">
                  <c:v>39</c:v>
                </c:pt>
                <c:pt idx="4">
                  <c:v>45.2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F-48D7-AC6F-FE2D19D40AFA}"/>
            </c:ext>
          </c:extLst>
        </c:ser>
        <c:ser>
          <c:idx val="2"/>
          <c:order val="2"/>
          <c:tx>
            <c:strRef>
              <c:f>'Interação - TIPO'!$Q$82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TIPO'!$N$83:$N$87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TIPO'!$Q$83:$Q$87</c:f>
              <c:numCache>
                <c:formatCode>0</c:formatCode>
                <c:ptCount val="5"/>
                <c:pt idx="0">
                  <c:v>177.5</c:v>
                </c:pt>
                <c:pt idx="1">
                  <c:v>143.5</c:v>
                </c:pt>
                <c:pt idx="2">
                  <c:v>126.30232558139535</c:v>
                </c:pt>
                <c:pt idx="3">
                  <c:v>67.25</c:v>
                </c:pt>
                <c:pt idx="4">
                  <c:v>473.4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5F-48D7-AC6F-FE2D19D40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324096"/>
        <c:axId val="887319744"/>
      </c:barChart>
      <c:catAx>
        <c:axId val="887324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TIPO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19744"/>
        <c:crosses val="autoZero"/>
        <c:auto val="1"/>
        <c:lblAlgn val="ctr"/>
        <c:lblOffset val="100"/>
        <c:noMultiLvlLbl val="0"/>
      </c:catAx>
      <c:valAx>
        <c:axId val="88731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2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</a:t>
            </a:r>
            <a:r>
              <a:rPr lang="pt-PT" sz="1200" b="0" i="0" u="none" strike="noStrike" cap="none" baseline="0">
                <a:effectLst/>
              </a:rPr>
              <a:t>Tipo </a:t>
            </a:r>
            <a:r>
              <a:rPr lang="pt-PT" sz="1200">
                <a:solidFill>
                  <a:sysClr val="windowText" lastClr="000000"/>
                </a:solidFill>
              </a:rPr>
              <a:t> JANEIRO 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TIPO'!$O$164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TIPO'!$N$165:$N$169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TIPO'!$O$165:$O$169</c:f>
              <c:numCache>
                <c:formatCode>0</c:formatCode>
                <c:ptCount val="5"/>
                <c:pt idx="0">
                  <c:v>193</c:v>
                </c:pt>
                <c:pt idx="1">
                  <c:v>756.36363636363637</c:v>
                </c:pt>
                <c:pt idx="2">
                  <c:v>535.61904761904759</c:v>
                </c:pt>
                <c:pt idx="3">
                  <c:v>951.5</c:v>
                </c:pt>
                <c:pt idx="4">
                  <c:v>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5-428A-ADAF-2B062429B767}"/>
            </c:ext>
          </c:extLst>
        </c:ser>
        <c:ser>
          <c:idx val="1"/>
          <c:order val="1"/>
          <c:tx>
            <c:strRef>
              <c:f>'Interação - TIPO'!$P$164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TIPO'!$N$165:$N$169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TIPO'!$P$165:$P$169</c:f>
              <c:numCache>
                <c:formatCode>0</c:formatCode>
                <c:ptCount val="5"/>
                <c:pt idx="0">
                  <c:v>37</c:v>
                </c:pt>
                <c:pt idx="1">
                  <c:v>54.727272727272727</c:v>
                </c:pt>
                <c:pt idx="2">
                  <c:v>72.642857142857139</c:v>
                </c:pt>
                <c:pt idx="3">
                  <c:v>87.25</c:v>
                </c:pt>
                <c:pt idx="4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5-428A-ADAF-2B062429B767}"/>
            </c:ext>
          </c:extLst>
        </c:ser>
        <c:ser>
          <c:idx val="2"/>
          <c:order val="2"/>
          <c:tx>
            <c:strRef>
              <c:f>'Interação - TIPO'!$Q$164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TIPO'!$N$165:$N$169</c:f>
              <c:strCache>
                <c:ptCount val="5"/>
                <c:pt idx="0">
                  <c:v>Declarar</c:v>
                </c:pt>
                <c:pt idx="1">
                  <c:v>Envolver</c:v>
                </c:pt>
                <c:pt idx="2">
                  <c:v>Informar</c:v>
                </c:pt>
                <c:pt idx="3">
                  <c:v>Interagir</c:v>
                </c:pt>
                <c:pt idx="4">
                  <c:v>Partilhar</c:v>
                </c:pt>
              </c:strCache>
            </c:strRef>
          </c:cat>
          <c:val>
            <c:numRef>
              <c:f>'Interação - TIPO'!$Q$165:$Q$169</c:f>
              <c:numCache>
                <c:formatCode>0</c:formatCode>
                <c:ptCount val="5"/>
                <c:pt idx="0">
                  <c:v>37</c:v>
                </c:pt>
                <c:pt idx="1">
                  <c:v>43.636363636363633</c:v>
                </c:pt>
                <c:pt idx="2">
                  <c:v>106.85714285714286</c:v>
                </c:pt>
                <c:pt idx="3">
                  <c:v>236.25</c:v>
                </c:pt>
                <c:pt idx="4">
                  <c:v>7613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5-428A-ADAF-2B062429B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314304"/>
        <c:axId val="887318112"/>
      </c:barChart>
      <c:catAx>
        <c:axId val="887314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TIPO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18112"/>
        <c:crosses val="autoZero"/>
        <c:auto val="1"/>
        <c:lblAlgn val="ctr"/>
        <c:lblOffset val="100"/>
        <c:noMultiLvlLbl val="0"/>
      </c:catAx>
      <c:valAx>
        <c:axId val="88731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1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Relação de Participações por </a:t>
            </a:r>
            <a:r>
              <a:rPr lang="pt-PT" sz="1200" b="0" i="0" u="none" strike="noStrike" cap="none" baseline="0">
                <a:effectLst/>
              </a:rPr>
              <a:t>Tipo </a:t>
            </a:r>
            <a:r>
              <a:rPr lang="pt-PT" sz="1200">
                <a:solidFill>
                  <a:sysClr val="windowText" lastClr="000000"/>
                </a:solidFill>
              </a:rPr>
              <a:t> FEVEREIRO 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TIPO'!$O$233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TIPO'!$N$234:$N$237</c:f>
              <c:strCache>
                <c:ptCount val="4"/>
                <c:pt idx="0">
                  <c:v>Envolver</c:v>
                </c:pt>
                <c:pt idx="1">
                  <c:v>Informar</c:v>
                </c:pt>
                <c:pt idx="2">
                  <c:v>Interagir</c:v>
                </c:pt>
                <c:pt idx="3">
                  <c:v>Partilhar</c:v>
                </c:pt>
              </c:strCache>
            </c:strRef>
          </c:cat>
          <c:val>
            <c:numRef>
              <c:f>'Interação - TIPO'!$O$234:$O$237</c:f>
              <c:numCache>
                <c:formatCode>0</c:formatCode>
                <c:ptCount val="4"/>
                <c:pt idx="0">
                  <c:v>690.8</c:v>
                </c:pt>
                <c:pt idx="1">
                  <c:v>1118.8181818181818</c:v>
                </c:pt>
                <c:pt idx="2">
                  <c:v>1039.6666666666667</c:v>
                </c:pt>
                <c:pt idx="3">
                  <c:v>257.66666666666669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7E-4A9F-A5F4-A7725D10C7DA}"/>
            </c:ext>
          </c:extLst>
        </c:ser>
        <c:ser>
          <c:idx val="1"/>
          <c:order val="1"/>
          <c:tx>
            <c:strRef>
              <c:f>'Interação - TIPO'!$P$233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TIPO'!$N$234:$N$237</c:f>
              <c:strCache>
                <c:ptCount val="4"/>
                <c:pt idx="0">
                  <c:v>Envolver</c:v>
                </c:pt>
                <c:pt idx="1">
                  <c:v>Informar</c:v>
                </c:pt>
                <c:pt idx="2">
                  <c:v>Interagir</c:v>
                </c:pt>
                <c:pt idx="3">
                  <c:v>Partilhar</c:v>
                </c:pt>
              </c:strCache>
            </c:strRef>
          </c:cat>
          <c:val>
            <c:numRef>
              <c:f>'Interação - TIPO'!$P$234:$P$237</c:f>
              <c:numCache>
                <c:formatCode>0</c:formatCode>
                <c:ptCount val="4"/>
                <c:pt idx="0">
                  <c:v>57.5</c:v>
                </c:pt>
                <c:pt idx="1">
                  <c:v>89.88636363636364</c:v>
                </c:pt>
                <c:pt idx="2">
                  <c:v>60.333333333333336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7E-4A9F-A5F4-A7725D10C7DA}"/>
            </c:ext>
          </c:extLst>
        </c:ser>
        <c:ser>
          <c:idx val="2"/>
          <c:order val="2"/>
          <c:tx>
            <c:strRef>
              <c:f>'Interação - TIPO'!$Q$233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TIPO'!$N$234:$N$237</c:f>
              <c:strCache>
                <c:ptCount val="4"/>
                <c:pt idx="0">
                  <c:v>Envolver</c:v>
                </c:pt>
                <c:pt idx="1">
                  <c:v>Informar</c:v>
                </c:pt>
                <c:pt idx="2">
                  <c:v>Interagir</c:v>
                </c:pt>
                <c:pt idx="3">
                  <c:v>Partilhar</c:v>
                </c:pt>
              </c:strCache>
            </c:strRef>
          </c:cat>
          <c:val>
            <c:numRef>
              <c:f>'Interação - TIPO'!$Q$234:$Q$237</c:f>
              <c:numCache>
                <c:formatCode>0</c:formatCode>
                <c:ptCount val="4"/>
                <c:pt idx="0">
                  <c:v>77</c:v>
                </c:pt>
                <c:pt idx="1">
                  <c:v>387.72727272727275</c:v>
                </c:pt>
                <c:pt idx="2">
                  <c:v>148</c:v>
                </c:pt>
                <c:pt idx="3">
                  <c:v>82.333333333333329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7E-4A9F-A5F4-A7725D10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320288"/>
        <c:axId val="887323008"/>
      </c:barChart>
      <c:catAx>
        <c:axId val="887320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u="none" strike="noStrike" cap="all" baseline="0">
                    <a:effectLst/>
                  </a:rPr>
                  <a:t>TIPO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23008"/>
        <c:crosses val="autoZero"/>
        <c:auto val="1"/>
        <c:lblAlgn val="ctr"/>
        <c:lblOffset val="100"/>
        <c:noMultiLvlLbl val="0"/>
      </c:catAx>
      <c:valAx>
        <c:axId val="8873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2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Média de Participações por publicação em relação ao TIPO DE PUBLICAÇÃO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TIPO'!$B$308:$B$312</c:f>
              <c:strCache>
                <c:ptCount val="5"/>
                <c:pt idx="0">
                  <c:v>Declarar</c:v>
                </c:pt>
                <c:pt idx="1">
                  <c:v>Promover Envolvimento</c:v>
                </c:pt>
                <c:pt idx="2">
                  <c:v>Informar</c:v>
                </c:pt>
                <c:pt idx="3">
                  <c:v>Promover Interação</c:v>
                </c:pt>
                <c:pt idx="4">
                  <c:v>Promover Partilha</c:v>
                </c:pt>
              </c:strCache>
            </c:strRef>
          </c:cat>
          <c:val>
            <c:numRef>
              <c:f>'Interação - TIPO'!$G$308:$G$312</c:f>
              <c:numCache>
                <c:formatCode>0</c:formatCode>
                <c:ptCount val="5"/>
                <c:pt idx="0">
                  <c:v>1734.5714285714287</c:v>
                </c:pt>
                <c:pt idx="1">
                  <c:v>1743.2558139534883</c:v>
                </c:pt>
                <c:pt idx="2">
                  <c:v>709.37790697674416</c:v>
                </c:pt>
                <c:pt idx="3">
                  <c:v>534.83333333333337</c:v>
                </c:pt>
                <c:pt idx="4">
                  <c:v>1479.0833333333333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'Interação - TIPO'!#REF!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90E-405D-9715-DE661ACA0540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TIPO'!$B$308:$B$312</c:f>
              <c:strCache>
                <c:ptCount val="5"/>
                <c:pt idx="0">
                  <c:v>Declarar</c:v>
                </c:pt>
                <c:pt idx="1">
                  <c:v>Promover Envolvimento</c:v>
                </c:pt>
                <c:pt idx="2">
                  <c:v>Informar</c:v>
                </c:pt>
                <c:pt idx="3">
                  <c:v>Promover Interação</c:v>
                </c:pt>
                <c:pt idx="4">
                  <c:v>Promover Partilha</c:v>
                </c:pt>
              </c:strCache>
            </c:strRef>
          </c:cat>
          <c:val>
            <c:numRef>
              <c:f>'Interação - TIPO'!$H$308:$H$312</c:f>
              <c:numCache>
                <c:formatCode>0</c:formatCode>
                <c:ptCount val="5"/>
                <c:pt idx="0">
                  <c:v>145.57142857142858</c:v>
                </c:pt>
                <c:pt idx="1">
                  <c:v>84.674418604651166</c:v>
                </c:pt>
                <c:pt idx="2">
                  <c:v>73.517441860465112</c:v>
                </c:pt>
                <c:pt idx="3">
                  <c:v>50.166666666666664</c:v>
                </c:pt>
                <c:pt idx="4">
                  <c:v>55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'Interação - TIPO'!#REF!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90E-405D-9715-DE661ACA0540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TIPO'!$B$308:$B$312</c:f>
              <c:strCache>
                <c:ptCount val="5"/>
                <c:pt idx="0">
                  <c:v>Declarar</c:v>
                </c:pt>
                <c:pt idx="1">
                  <c:v>Promover Envolvimento</c:v>
                </c:pt>
                <c:pt idx="2">
                  <c:v>Informar</c:v>
                </c:pt>
                <c:pt idx="3">
                  <c:v>Promover Interação</c:v>
                </c:pt>
                <c:pt idx="4">
                  <c:v>Promover Partilha</c:v>
                </c:pt>
              </c:strCache>
            </c:strRef>
          </c:cat>
          <c:val>
            <c:numRef>
              <c:f>'Interação - TIPO'!$I$308:$I$312</c:f>
              <c:numCache>
                <c:formatCode>0</c:formatCode>
                <c:ptCount val="5"/>
                <c:pt idx="0">
                  <c:v>274.57142857142856</c:v>
                </c:pt>
                <c:pt idx="1">
                  <c:v>133.69767441860466</c:v>
                </c:pt>
                <c:pt idx="2">
                  <c:v>191.57558139534885</c:v>
                </c:pt>
                <c:pt idx="3">
                  <c:v>98.944444444444443</c:v>
                </c:pt>
                <c:pt idx="4">
                  <c:v>880.66666666666663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'Interação - TIPO'!#REF!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90E-405D-9715-DE661ACA0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320832"/>
        <c:axId val="887312672"/>
      </c:barChart>
      <c:catAx>
        <c:axId val="88732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Tipo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12672"/>
        <c:crosses val="autoZero"/>
        <c:auto val="1"/>
        <c:lblAlgn val="ctr"/>
        <c:lblOffset val="100"/>
        <c:noMultiLvlLbl val="0"/>
      </c:catAx>
      <c:valAx>
        <c:axId val="88731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2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0">
                <a:solidFill>
                  <a:sysClr val="windowText" lastClr="000000"/>
                </a:solidFill>
              </a:rPr>
              <a:t>Média</a:t>
            </a:r>
            <a:r>
              <a:rPr lang="en-US" sz="1200" b="0" baseline="0">
                <a:solidFill>
                  <a:sysClr val="windowText" lastClr="000000"/>
                </a:solidFill>
              </a:rPr>
              <a:t> de gostos por FORMATO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FORMATO'!$G$11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'Interação - FORMATO'!$B$12:$B$20</c:f>
              <c:strCache>
                <c:ptCount val="9"/>
                <c:pt idx="0">
                  <c:v>Álbum</c:v>
                </c:pt>
                <c:pt idx="1">
                  <c:v>GIF</c:v>
                </c:pt>
                <c:pt idx="2">
                  <c:v>Imagem</c:v>
                </c:pt>
                <c:pt idx="3">
                  <c:v>Infográfico</c:v>
                </c:pt>
                <c:pt idx="4">
                  <c:v>Nota</c:v>
                </c:pt>
                <c:pt idx="5">
                  <c:v>Notícia</c:v>
                </c:pt>
                <c:pt idx="6">
                  <c:v>Sessão de perguntas e respostas</c:v>
                </c:pt>
                <c:pt idx="7">
                  <c:v>Texto</c:v>
                </c:pt>
                <c:pt idx="8">
                  <c:v>Vídeo</c:v>
                </c:pt>
              </c:strCache>
            </c:strRef>
          </c:cat>
          <c:val>
            <c:numRef>
              <c:f>'Interação - FORMATO'!$G$12:$G$20</c:f>
              <c:numCache>
                <c:formatCode>0</c:formatCode>
                <c:ptCount val="9"/>
                <c:pt idx="0">
                  <c:v>693.625</c:v>
                </c:pt>
                <c:pt idx="1">
                  <c:v>1024.3599999999999</c:v>
                </c:pt>
                <c:pt idx="2">
                  <c:v>870.69172932330832</c:v>
                </c:pt>
                <c:pt idx="3">
                  <c:v>178.375</c:v>
                </c:pt>
                <c:pt idx="4">
                  <c:v>289.5</c:v>
                </c:pt>
                <c:pt idx="5">
                  <c:v>359.5</c:v>
                </c:pt>
                <c:pt idx="6">
                  <c:v>357</c:v>
                </c:pt>
                <c:pt idx="7">
                  <c:v>6100</c:v>
                </c:pt>
                <c:pt idx="8">
                  <c:v>1158.0434782608695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D-48B5-847B-02BFEF9DC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321920"/>
        <c:axId val="887322464"/>
      </c:barChart>
      <c:catAx>
        <c:axId val="887321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FORMATO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DA PUBLICAÇÃO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22464"/>
        <c:crosses val="autoZero"/>
        <c:auto val="1"/>
        <c:lblAlgn val="ctr"/>
        <c:lblOffset val="100"/>
        <c:noMultiLvlLbl val="0"/>
      </c:catAx>
      <c:valAx>
        <c:axId val="88732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REAÇÕES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3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ysClr val="windowText" lastClr="000000"/>
                </a:solidFill>
              </a:rPr>
              <a:t>Média de Participações  por </a:t>
            </a:r>
            <a:r>
              <a:rPr lang="pt-PT" sz="1200" b="0" i="0" u="none" strike="noStrike" cap="none" baseline="0">
                <a:effectLst/>
              </a:rPr>
              <a:t>publicação em relação ao </a:t>
            </a:r>
            <a:r>
              <a:rPr lang="pt-PT" sz="1200">
                <a:solidFill>
                  <a:sysClr val="windowText" lastClr="000000"/>
                </a:solidFill>
              </a:rPr>
              <a:t>FORMATO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'Interação - FORMATO'!$G$11</c:f>
              <c:strCache>
                <c:ptCount val="1"/>
                <c:pt idx="0">
                  <c:v>Gostos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FORMATO'!$B$12:$B$20</c:f>
              <c:strCache>
                <c:ptCount val="9"/>
                <c:pt idx="0">
                  <c:v>Álbum</c:v>
                </c:pt>
                <c:pt idx="1">
                  <c:v>GIF</c:v>
                </c:pt>
                <c:pt idx="2">
                  <c:v>Imagem</c:v>
                </c:pt>
                <c:pt idx="3">
                  <c:v>Infográfico</c:v>
                </c:pt>
                <c:pt idx="4">
                  <c:v>Nota</c:v>
                </c:pt>
                <c:pt idx="5">
                  <c:v>Notícia</c:v>
                </c:pt>
                <c:pt idx="6">
                  <c:v>Sessão de perguntas e respostas</c:v>
                </c:pt>
                <c:pt idx="7">
                  <c:v>Texto</c:v>
                </c:pt>
                <c:pt idx="8">
                  <c:v>Vídeo</c:v>
                </c:pt>
              </c:strCache>
            </c:strRef>
          </c:cat>
          <c:val>
            <c:numRef>
              <c:f>'Interação - FORMATO'!$G$12:$G$20</c:f>
              <c:numCache>
                <c:formatCode>0</c:formatCode>
                <c:ptCount val="9"/>
                <c:pt idx="0">
                  <c:v>693.625</c:v>
                </c:pt>
                <c:pt idx="1">
                  <c:v>1024.3599999999999</c:v>
                </c:pt>
                <c:pt idx="2">
                  <c:v>870.69172932330832</c:v>
                </c:pt>
                <c:pt idx="3">
                  <c:v>178.375</c:v>
                </c:pt>
                <c:pt idx="4">
                  <c:v>289.5</c:v>
                </c:pt>
                <c:pt idx="5">
                  <c:v>359.5</c:v>
                </c:pt>
                <c:pt idx="6">
                  <c:v>357</c:v>
                </c:pt>
                <c:pt idx="7">
                  <c:v>6100</c:v>
                </c:pt>
                <c:pt idx="8">
                  <c:v>1158.0434782608695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1-403B-8EA5-E1E19F482577}"/>
            </c:ext>
          </c:extLst>
        </c:ser>
        <c:ser>
          <c:idx val="1"/>
          <c:order val="1"/>
          <c:tx>
            <c:strRef>
              <c:f>'Interação - FORMATO'!$H$11</c:f>
              <c:strCache>
                <c:ptCount val="1"/>
                <c:pt idx="0">
                  <c:v>Comentários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FORMATO'!$B$12:$B$20</c:f>
              <c:strCache>
                <c:ptCount val="9"/>
                <c:pt idx="0">
                  <c:v>Álbum</c:v>
                </c:pt>
                <c:pt idx="1">
                  <c:v>GIF</c:v>
                </c:pt>
                <c:pt idx="2">
                  <c:v>Imagem</c:v>
                </c:pt>
                <c:pt idx="3">
                  <c:v>Infográfico</c:v>
                </c:pt>
                <c:pt idx="4">
                  <c:v>Nota</c:v>
                </c:pt>
                <c:pt idx="5">
                  <c:v>Notícia</c:v>
                </c:pt>
                <c:pt idx="6">
                  <c:v>Sessão de perguntas e respostas</c:v>
                </c:pt>
                <c:pt idx="7">
                  <c:v>Texto</c:v>
                </c:pt>
                <c:pt idx="8">
                  <c:v>Vídeo</c:v>
                </c:pt>
              </c:strCache>
            </c:strRef>
          </c:cat>
          <c:val>
            <c:numRef>
              <c:f>'Interação - FORMATO'!$H$12:$H$20</c:f>
              <c:numCache>
                <c:formatCode>0</c:formatCode>
                <c:ptCount val="9"/>
                <c:pt idx="0">
                  <c:v>41.75</c:v>
                </c:pt>
                <c:pt idx="1">
                  <c:v>65.72</c:v>
                </c:pt>
                <c:pt idx="2">
                  <c:v>66.436090225563916</c:v>
                </c:pt>
                <c:pt idx="3">
                  <c:v>37.125</c:v>
                </c:pt>
                <c:pt idx="4">
                  <c:v>29.25</c:v>
                </c:pt>
                <c:pt idx="5">
                  <c:v>21</c:v>
                </c:pt>
                <c:pt idx="6">
                  <c:v>62.5</c:v>
                </c:pt>
                <c:pt idx="7">
                  <c:v>385</c:v>
                </c:pt>
                <c:pt idx="8">
                  <c:v>102.73913043478261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D1-403B-8EA5-E1E19F482577}"/>
            </c:ext>
          </c:extLst>
        </c:ser>
        <c:ser>
          <c:idx val="2"/>
          <c:order val="2"/>
          <c:tx>
            <c:strRef>
              <c:f>'Interação - FORMATO'!$I$11</c:f>
              <c:strCache>
                <c:ptCount val="1"/>
                <c:pt idx="0">
                  <c:v>Partilhas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'Interação - FORMATO'!$B$12:$B$20</c:f>
              <c:strCache>
                <c:ptCount val="9"/>
                <c:pt idx="0">
                  <c:v>Álbum</c:v>
                </c:pt>
                <c:pt idx="1">
                  <c:v>GIF</c:v>
                </c:pt>
                <c:pt idx="2">
                  <c:v>Imagem</c:v>
                </c:pt>
                <c:pt idx="3">
                  <c:v>Infográfico</c:v>
                </c:pt>
                <c:pt idx="4">
                  <c:v>Nota</c:v>
                </c:pt>
                <c:pt idx="5">
                  <c:v>Notícia</c:v>
                </c:pt>
                <c:pt idx="6">
                  <c:v>Sessão de perguntas e respostas</c:v>
                </c:pt>
                <c:pt idx="7">
                  <c:v>Texto</c:v>
                </c:pt>
                <c:pt idx="8">
                  <c:v>Vídeo</c:v>
                </c:pt>
              </c:strCache>
            </c:strRef>
          </c:cat>
          <c:val>
            <c:numRef>
              <c:f>'Interação - FORMATO'!$I$12:$I$20</c:f>
              <c:numCache>
                <c:formatCode>0</c:formatCode>
                <c:ptCount val="9"/>
                <c:pt idx="0">
                  <c:v>82.5</c:v>
                </c:pt>
                <c:pt idx="1">
                  <c:v>434</c:v>
                </c:pt>
                <c:pt idx="2">
                  <c:v>106.77443609022556</c:v>
                </c:pt>
                <c:pt idx="3">
                  <c:v>58.25</c:v>
                </c:pt>
                <c:pt idx="4">
                  <c:v>57.25</c:v>
                </c:pt>
                <c:pt idx="5">
                  <c:v>24.5</c:v>
                </c:pt>
                <c:pt idx="6">
                  <c:v>56.5</c:v>
                </c:pt>
                <c:pt idx="7">
                  <c:v>737</c:v>
                </c:pt>
                <c:pt idx="8">
                  <c:v>371.97101449275362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D1-403B-8EA5-E1E19F482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7068048"/>
        <c:axId val="887069136"/>
      </c:barChart>
      <c:catAx>
        <c:axId val="887068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FORMATO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9136"/>
        <c:crosses val="autoZero"/>
        <c:auto val="1"/>
        <c:lblAlgn val="ctr"/>
        <c:lblOffset val="100"/>
        <c:noMultiLvlLbl val="0"/>
      </c:catAx>
      <c:valAx>
        <c:axId val="88706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>
                    <a:solidFill>
                      <a:sysClr val="windowText" lastClr="000000"/>
                    </a:solidFill>
                  </a:rPr>
                  <a:t>MÉDIA</a:t>
                </a:r>
                <a:r>
                  <a:rPr lang="pt-PT" baseline="0">
                    <a:solidFill>
                      <a:sysClr val="windowText" lastClr="000000"/>
                    </a:solidFill>
                  </a:rPr>
                  <a:t> DE PARTICIPAÇÕES</a:t>
                </a:r>
                <a:endParaRPr lang="pt-PT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06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9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9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Percentagem de PUBLICAÇÕES por TEMA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9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88809297988114"/>
          <c:y val="0.15972399998264425"/>
          <c:w val="0.55455373935782826"/>
          <c:h val="0.76164178464969567"/>
        </c:manualLayout>
      </c:layout>
      <c:pieChart>
        <c:varyColors val="1"/>
        <c:ser>
          <c:idx val="0"/>
          <c:order val="0"/>
          <c:tx>
            <c:strRef>
              <c:f>'Estratégia - TEMA'!$G$10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E3-4A86-9059-A1905561840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E3-4A86-9059-A1905561840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E3-4A86-9059-A1905561840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E3-4A86-9059-A1905561840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E3-4A86-9059-A1905561840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E3-4A86-9059-A1905561840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63E3-4A86-9059-A19055618403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63E3-4A86-9059-A1905561840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63E3-4A86-9059-A19055618403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63E3-4A86-9059-A1905561840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63E3-4A86-9059-A19055618403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63E3-4A86-9059-A19055618403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63E3-4A86-9059-A19055618403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63E3-4A86-9059-A19055618403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63E3-4A86-9059-A19055618403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63E3-4A86-9059-A19055618403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63E3-4A86-9059-A19055618403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63E3-4A86-9059-A19055618403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63E3-4A86-9059-A19055618403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63E3-4A86-9059-A19055618403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63E3-4A86-9059-A19055618403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63E3-4A86-9059-A19055618403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63E3-4A86-9059-A19055618403}"/>
              </c:ext>
            </c:extLst>
          </c:dPt>
          <c:dPt>
            <c:idx val="23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63E3-4A86-9059-A19055618403}"/>
              </c:ext>
            </c:extLst>
          </c:dPt>
          <c:dPt>
            <c:idx val="24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63E3-4A86-9059-A19055618403}"/>
              </c:ext>
            </c:extLst>
          </c:dPt>
          <c:dPt>
            <c:idx val="25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63E3-4A86-9059-A19055618403}"/>
              </c:ext>
            </c:extLst>
          </c:dPt>
          <c:dPt>
            <c:idx val="26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63E3-4A86-9059-A19055618403}"/>
              </c:ext>
            </c:extLst>
          </c:dPt>
          <c:dPt>
            <c:idx val="27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63E3-4A86-9059-A19055618403}"/>
              </c:ext>
            </c:extLst>
          </c:dPt>
          <c:dPt>
            <c:idx val="28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63E3-4A86-9059-A19055618403}"/>
              </c:ext>
            </c:extLst>
          </c:dPt>
          <c:dPt>
            <c:idx val="29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63E3-4A86-9059-A19055618403}"/>
              </c:ext>
            </c:extLst>
          </c:dPt>
          <c:dPt>
            <c:idx val="30"/>
            <c:bubble3D val="0"/>
            <c:spPr>
              <a:gradFill rotWithShape="1">
                <a:gsLst>
                  <a:gs pos="0">
                    <a:schemeClr val="accent1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63E3-4A86-9059-A19055618403}"/>
              </c:ext>
            </c:extLst>
          </c:dPt>
          <c:dPt>
            <c:idx val="31"/>
            <c:bubble3D val="0"/>
            <c:spPr>
              <a:gradFill rotWithShape="1">
                <a:gsLst>
                  <a:gs pos="0">
                    <a:schemeClr val="accent2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63E3-4A86-9059-A19055618403}"/>
              </c:ext>
            </c:extLst>
          </c:dPt>
          <c:dLbls>
            <c:dLbl>
              <c:idx val="0"/>
              <c:layout>
                <c:manualLayout>
                  <c:x val="-7.7415641168676108E-2"/>
                  <c:y val="9.9952922493502475E-2"/>
                </c:manualLayout>
              </c:layout>
              <c:tx>
                <c:rich>
                  <a:bodyPr/>
                  <a:lstStyle/>
                  <a:p>
                    <a:fld id="{AFFB374E-232E-4ED6-9A9F-2D81925844BF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
</a:t>
                    </a:r>
                    <a:fld id="{C45300F7-11B9-41F8-AB39-D2F2E7A7DC0E}" type="PERCENTAGE">
                      <a:rPr lang="en-US" baseline="0"/>
                      <a:pPr/>
                      <a:t>[PERCENTAGEM]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3E3-4A86-9059-A19055618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pt-PT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'Estratégia - TEMA'!$B$11:$B$42</c:f>
              <c:strCache>
                <c:ptCount val="32"/>
                <c:pt idx="0">
                  <c:v>Atividades PE</c:v>
                </c:pt>
                <c:pt idx="1">
                  <c:v>Ambiente</c:v>
                </c:pt>
                <c:pt idx="2">
                  <c:v>Informações Úteis</c:v>
                </c:pt>
                <c:pt idx="3">
                  <c:v>Refugiados</c:v>
                </c:pt>
                <c:pt idx="4">
                  <c:v>Terrorismo</c:v>
                </c:pt>
                <c:pt idx="5">
                  <c:v>Efemérides</c:v>
                </c:pt>
                <c:pt idx="6">
                  <c:v>Faits-Divers</c:v>
                </c:pt>
                <c:pt idx="7">
                  <c:v>Multilinguismo</c:v>
                </c:pt>
                <c:pt idx="8">
                  <c:v>Direitos Humanos</c:v>
                </c:pt>
                <c:pt idx="9">
                  <c:v>Passatempos</c:v>
                </c:pt>
                <c:pt idx="10">
                  <c:v>Economia</c:v>
                </c:pt>
                <c:pt idx="11">
                  <c:v>Redes Sociais</c:v>
                </c:pt>
                <c:pt idx="12">
                  <c:v>Segurança Online</c:v>
                </c:pt>
                <c:pt idx="13">
                  <c:v>TTIP</c:v>
                </c:pt>
                <c:pt idx="14">
                  <c:v>Juventude</c:v>
                </c:pt>
                <c:pt idx="15">
                  <c:v>Saúde</c:v>
                </c:pt>
                <c:pt idx="16">
                  <c:v>Segurança</c:v>
                </c:pt>
                <c:pt idx="17">
                  <c:v>Cultura</c:v>
                </c:pt>
                <c:pt idx="18">
                  <c:v>Presidência Holandesa</c:v>
                </c:pt>
                <c:pt idx="19">
                  <c:v>Raif Badawi</c:v>
                </c:pt>
                <c:pt idx="20">
                  <c:v>Relações EM</c:v>
                </c:pt>
                <c:pt idx="21">
                  <c:v>Brexit</c:v>
                </c:pt>
                <c:pt idx="22">
                  <c:v>D&amp;C</c:v>
                </c:pt>
                <c:pt idx="23">
                  <c:v>Multiculturalismo</c:v>
                </c:pt>
                <c:pt idx="24">
                  <c:v>Outros</c:v>
                </c:pt>
                <c:pt idx="25">
                  <c:v>Relações ExtraUE</c:v>
                </c:pt>
                <c:pt idx="26">
                  <c:v>TiSA</c:v>
                </c:pt>
                <c:pt idx="27">
                  <c:v>Energia</c:v>
                </c:pt>
                <c:pt idx="28">
                  <c:v>Financiamento Europeu</c:v>
                </c:pt>
                <c:pt idx="29">
                  <c:v>Presidente PE</c:v>
                </c:pt>
                <c:pt idx="30">
                  <c:v>Adesão Turquia</c:v>
                </c:pt>
                <c:pt idx="31">
                  <c:v>Ciência</c:v>
                </c:pt>
              </c:strCache>
            </c:strRef>
          </c:cat>
          <c:val>
            <c:numRef>
              <c:f>'Estratégia - TEMA'!$G$11:$G$42</c:f>
              <c:numCache>
                <c:formatCode>General</c:formatCode>
                <c:ptCount val="32"/>
                <c:pt idx="0">
                  <c:v>37</c:v>
                </c:pt>
                <c:pt idx="1">
                  <c:v>19</c:v>
                </c:pt>
                <c:pt idx="2">
                  <c:v>19</c:v>
                </c:pt>
                <c:pt idx="3">
                  <c:v>17</c:v>
                </c:pt>
                <c:pt idx="4">
                  <c:v>17</c:v>
                </c:pt>
                <c:pt idx="5">
                  <c:v>14</c:v>
                </c:pt>
                <c:pt idx="6">
                  <c:v>13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8-4E9C-A4DF-5DB784D4F82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2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Distribuição mensal de PUBLICAÇÕES por ENQUADRAMENTO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2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'Estratégia - ENQUADRAMENTO'!$C$10</c:f>
              <c:strCache>
                <c:ptCount val="1"/>
                <c:pt idx="0">
                  <c:v>Novembro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ENQUADRAMENTO'!$B$11:$B$31</c:f>
              <c:strCache>
                <c:ptCount val="21"/>
                <c:pt idx="0">
                  <c:v>UE</c:v>
                </c:pt>
                <c:pt idx="1">
                  <c:v>Global/UE</c:v>
                </c:pt>
                <c:pt idx="2">
                  <c:v>Global</c:v>
                </c:pt>
                <c:pt idx="3">
                  <c:v>EUA/UE</c:v>
                </c:pt>
                <c:pt idx="4">
                  <c:v>Paris/UE</c:v>
                </c:pt>
                <c:pt idx="5">
                  <c:v>Polónia/UE</c:v>
                </c:pt>
                <c:pt idx="6">
                  <c:v>Reino Unido/UE</c:v>
                </c:pt>
                <c:pt idx="7">
                  <c:v>Turquia/UE</c:v>
                </c:pt>
                <c:pt idx="8">
                  <c:v>Azerbaijão/UE</c:v>
                </c:pt>
                <c:pt idx="9">
                  <c:v>França/UE</c:v>
                </c:pt>
                <c:pt idx="10">
                  <c:v>Ucrânia/EU</c:v>
                </c:pt>
                <c:pt idx="11">
                  <c:v>Alemanha/UE</c:v>
                </c:pt>
                <c:pt idx="12">
                  <c:v>Grécia/UE</c:v>
                </c:pt>
                <c:pt idx="13">
                  <c:v>Holanda/UE</c:v>
                </c:pt>
                <c:pt idx="14">
                  <c:v>Irão/UE</c:v>
                </c:pt>
                <c:pt idx="15">
                  <c:v>Irlanda/UE</c:v>
                </c:pt>
                <c:pt idx="16">
                  <c:v>NATO/EU</c:v>
                </c:pt>
                <c:pt idx="17">
                  <c:v>PE</c:v>
                </c:pt>
                <c:pt idx="18">
                  <c:v>Roménia/UE</c:v>
                </c:pt>
                <c:pt idx="19">
                  <c:v>Rússia/UE</c:v>
                </c:pt>
                <c:pt idx="20">
                  <c:v>Tunísia/UE</c:v>
                </c:pt>
              </c:strCache>
            </c:strRef>
          </c:cat>
          <c:val>
            <c:numRef>
              <c:f>'Estratégia - ENQUADRAMENTO'!$C$11:$C$31</c:f>
              <c:numCache>
                <c:formatCode>General</c:formatCode>
                <c:ptCount val="21"/>
                <c:pt idx="0">
                  <c:v>43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A-4930-BB31-B1BF4CBADF90}"/>
            </c:ext>
          </c:extLst>
        </c:ser>
        <c:ser>
          <c:idx val="1"/>
          <c:order val="1"/>
          <c:tx>
            <c:strRef>
              <c:f>'Estratégia - ENQUADRAMENTO'!$D$10</c:f>
              <c:strCache>
                <c:ptCount val="1"/>
                <c:pt idx="0">
                  <c:v>Dezembro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ENQUADRAMENTO'!$B$11:$B$31</c:f>
              <c:strCache>
                <c:ptCount val="21"/>
                <c:pt idx="0">
                  <c:v>UE</c:v>
                </c:pt>
                <c:pt idx="1">
                  <c:v>Global/UE</c:v>
                </c:pt>
                <c:pt idx="2">
                  <c:v>Global</c:v>
                </c:pt>
                <c:pt idx="3">
                  <c:v>EUA/UE</c:v>
                </c:pt>
                <c:pt idx="4">
                  <c:v>Paris/UE</c:v>
                </c:pt>
                <c:pt idx="5">
                  <c:v>Polónia/UE</c:v>
                </c:pt>
                <c:pt idx="6">
                  <c:v>Reino Unido/UE</c:v>
                </c:pt>
                <c:pt idx="7">
                  <c:v>Turquia/UE</c:v>
                </c:pt>
                <c:pt idx="8">
                  <c:v>Azerbaijão/UE</c:v>
                </c:pt>
                <c:pt idx="9">
                  <c:v>França/UE</c:v>
                </c:pt>
                <c:pt idx="10">
                  <c:v>Ucrânia/EU</c:v>
                </c:pt>
                <c:pt idx="11">
                  <c:v>Alemanha/UE</c:v>
                </c:pt>
                <c:pt idx="12">
                  <c:v>Grécia/UE</c:v>
                </c:pt>
                <c:pt idx="13">
                  <c:v>Holanda/UE</c:v>
                </c:pt>
                <c:pt idx="14">
                  <c:v>Irão/UE</c:v>
                </c:pt>
                <c:pt idx="15">
                  <c:v>Irlanda/UE</c:v>
                </c:pt>
                <c:pt idx="16">
                  <c:v>NATO/EU</c:v>
                </c:pt>
                <c:pt idx="17">
                  <c:v>PE</c:v>
                </c:pt>
                <c:pt idx="18">
                  <c:v>Roménia/UE</c:v>
                </c:pt>
                <c:pt idx="19">
                  <c:v>Rússia/UE</c:v>
                </c:pt>
                <c:pt idx="20">
                  <c:v>Tunísia/UE</c:v>
                </c:pt>
              </c:strCache>
            </c:strRef>
          </c:cat>
          <c:val>
            <c:numRef>
              <c:f>'Estratégia - ENQUADRAMENTO'!$D$11:$D$31</c:f>
              <c:numCache>
                <c:formatCode>General</c:formatCode>
                <c:ptCount val="21"/>
                <c:pt idx="0">
                  <c:v>60</c:v>
                </c:pt>
                <c:pt idx="1">
                  <c:v>5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A-4930-BB31-B1BF4CBADF90}"/>
            </c:ext>
          </c:extLst>
        </c:ser>
        <c:ser>
          <c:idx val="2"/>
          <c:order val="2"/>
          <c:tx>
            <c:strRef>
              <c:f>'Estratégia - ENQUADRAMENTO'!$E$10</c:f>
              <c:strCache>
                <c:ptCount val="1"/>
                <c:pt idx="0">
                  <c:v>Janeiro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ENQUADRAMENTO'!$B$11:$B$31</c:f>
              <c:strCache>
                <c:ptCount val="21"/>
                <c:pt idx="0">
                  <c:v>UE</c:v>
                </c:pt>
                <c:pt idx="1">
                  <c:v>Global/UE</c:v>
                </c:pt>
                <c:pt idx="2">
                  <c:v>Global</c:v>
                </c:pt>
                <c:pt idx="3">
                  <c:v>EUA/UE</c:v>
                </c:pt>
                <c:pt idx="4">
                  <c:v>Paris/UE</c:v>
                </c:pt>
                <c:pt idx="5">
                  <c:v>Polónia/UE</c:v>
                </c:pt>
                <c:pt idx="6">
                  <c:v>Reino Unido/UE</c:v>
                </c:pt>
                <c:pt idx="7">
                  <c:v>Turquia/UE</c:v>
                </c:pt>
                <c:pt idx="8">
                  <c:v>Azerbaijão/UE</c:v>
                </c:pt>
                <c:pt idx="9">
                  <c:v>França/UE</c:v>
                </c:pt>
                <c:pt idx="10">
                  <c:v>Ucrânia/EU</c:v>
                </c:pt>
                <c:pt idx="11">
                  <c:v>Alemanha/UE</c:v>
                </c:pt>
                <c:pt idx="12">
                  <c:v>Grécia/UE</c:v>
                </c:pt>
                <c:pt idx="13">
                  <c:v>Holanda/UE</c:v>
                </c:pt>
                <c:pt idx="14">
                  <c:v>Irão/UE</c:v>
                </c:pt>
                <c:pt idx="15">
                  <c:v>Irlanda/UE</c:v>
                </c:pt>
                <c:pt idx="16">
                  <c:v>NATO/EU</c:v>
                </c:pt>
                <c:pt idx="17">
                  <c:v>PE</c:v>
                </c:pt>
                <c:pt idx="18">
                  <c:v>Roménia/UE</c:v>
                </c:pt>
                <c:pt idx="19">
                  <c:v>Rússia/UE</c:v>
                </c:pt>
                <c:pt idx="20">
                  <c:v>Tunísia/UE</c:v>
                </c:pt>
              </c:strCache>
            </c:strRef>
          </c:cat>
          <c:val>
            <c:numRef>
              <c:f>'Estratégia - ENQUADRAMENTO'!$E$11:$E$31</c:f>
              <c:numCache>
                <c:formatCode>General</c:formatCode>
                <c:ptCount val="21"/>
                <c:pt idx="0">
                  <c:v>48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DA-4930-BB31-B1BF4CBADF90}"/>
            </c:ext>
          </c:extLst>
        </c:ser>
        <c:ser>
          <c:idx val="3"/>
          <c:order val="3"/>
          <c:tx>
            <c:strRef>
              <c:f>'Estratégia - ENQUADRAMENTO'!$F$10</c:f>
              <c:strCache>
                <c:ptCount val="1"/>
                <c:pt idx="0">
                  <c:v>Fevereiro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'Estratégia - ENQUADRAMENTO'!$B$11:$B$31</c:f>
              <c:strCache>
                <c:ptCount val="21"/>
                <c:pt idx="0">
                  <c:v>UE</c:v>
                </c:pt>
                <c:pt idx="1">
                  <c:v>Global/UE</c:v>
                </c:pt>
                <c:pt idx="2">
                  <c:v>Global</c:v>
                </c:pt>
                <c:pt idx="3">
                  <c:v>EUA/UE</c:v>
                </c:pt>
                <c:pt idx="4">
                  <c:v>Paris/UE</c:v>
                </c:pt>
                <c:pt idx="5">
                  <c:v>Polónia/UE</c:v>
                </c:pt>
                <c:pt idx="6">
                  <c:v>Reino Unido/UE</c:v>
                </c:pt>
                <c:pt idx="7">
                  <c:v>Turquia/UE</c:v>
                </c:pt>
                <c:pt idx="8">
                  <c:v>Azerbaijão/UE</c:v>
                </c:pt>
                <c:pt idx="9">
                  <c:v>França/UE</c:v>
                </c:pt>
                <c:pt idx="10">
                  <c:v>Ucrânia/EU</c:v>
                </c:pt>
                <c:pt idx="11">
                  <c:v>Alemanha/UE</c:v>
                </c:pt>
                <c:pt idx="12">
                  <c:v>Grécia/UE</c:v>
                </c:pt>
                <c:pt idx="13">
                  <c:v>Holanda/UE</c:v>
                </c:pt>
                <c:pt idx="14">
                  <c:v>Irão/UE</c:v>
                </c:pt>
                <c:pt idx="15">
                  <c:v>Irlanda/UE</c:v>
                </c:pt>
                <c:pt idx="16">
                  <c:v>NATO/EU</c:v>
                </c:pt>
                <c:pt idx="17">
                  <c:v>PE</c:v>
                </c:pt>
                <c:pt idx="18">
                  <c:v>Roménia/UE</c:v>
                </c:pt>
                <c:pt idx="19">
                  <c:v>Rússia/UE</c:v>
                </c:pt>
                <c:pt idx="20">
                  <c:v>Tunísia/UE</c:v>
                </c:pt>
              </c:strCache>
            </c:strRef>
          </c:cat>
          <c:val>
            <c:numRef>
              <c:f>'Estratégia - ENQUADRAMENTO'!$F$11:$F$31</c:f>
              <c:numCache>
                <c:formatCode>General</c:formatCode>
                <c:ptCount val="21"/>
                <c:pt idx="0">
                  <c:v>39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DA-4930-BB31-B1BF4CBAD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85079552"/>
        <c:axId val="885071936"/>
      </c:barChart>
      <c:catAx>
        <c:axId val="885079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ENQUADRAMENTO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1936"/>
        <c:crosses val="autoZero"/>
        <c:auto val="1"/>
        <c:lblAlgn val="ctr"/>
        <c:lblOffset val="100"/>
        <c:noMultiLvlLbl val="0"/>
      </c:catAx>
      <c:valAx>
        <c:axId val="8850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PUBLICAÇÕES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07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200">
                <a:solidFill>
                  <a:schemeClr val="tx1"/>
                </a:solidFill>
              </a:rPr>
              <a:t>Percentagem</a:t>
            </a:r>
            <a:r>
              <a:rPr lang="pt-PT" sz="1200" baseline="0">
                <a:solidFill>
                  <a:schemeClr val="tx1"/>
                </a:solidFill>
              </a:rPr>
              <a:t> de PUBLICAÇÕES por ENQUADRAMENTO</a:t>
            </a:r>
            <a:endParaRPr lang="pt-PT" sz="120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'Estratégia - ENQUADRAMENTO'!$G$10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D5-41CF-93D5-6869D97C5CA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D5-41CF-93D5-6869D97C5CA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D5-41CF-93D5-6869D97C5CA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D5-41CF-93D5-6869D97C5CA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D5-41CF-93D5-6869D97C5CA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9D5-41CF-93D5-6869D97C5CA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F9D5-41CF-93D5-6869D97C5CA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F9D5-41CF-93D5-6869D97C5CA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F9D5-41CF-93D5-6869D97C5CA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F9D5-41CF-93D5-6869D97C5CA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F9D5-41CF-93D5-6869D97C5CAA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F9D5-41CF-93D5-6869D97C5CAA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F9D5-41CF-93D5-6869D97C5CAA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F9D5-41CF-93D5-6869D97C5CAA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F9D5-41CF-93D5-6869D97C5CAA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F9D5-41CF-93D5-6869D97C5CAA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F9D5-41CF-93D5-6869D97C5CAA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F9D5-41CF-93D5-6869D97C5CAA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F9D5-41CF-93D5-6869D97C5CAA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F9D5-41CF-93D5-6869D97C5CAA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F9D5-41CF-93D5-6869D97C5CAA}"/>
              </c:ext>
            </c:extLst>
          </c:dPt>
          <c:dPt>
            <c:idx val="21"/>
            <c:bubble3D val="0"/>
            <c:explosion val="1"/>
            <c:spPr>
              <a:gradFill rotWithShape="1">
                <a:gsLst>
                  <a:gs pos="0">
                    <a:schemeClr val="accent4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F9D5-41CF-93D5-6869D97C5CAA}"/>
              </c:ext>
            </c:extLst>
          </c:dPt>
          <c:dLbls>
            <c:dLbl>
              <c:idx val="0"/>
              <c:layout>
                <c:manualLayout>
                  <c:x val="0.15128795891621161"/>
                  <c:y val="-0.137093951494590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5-41CF-93D5-6869D97C5CAA}"/>
                </c:ext>
              </c:extLst>
            </c:dLbl>
            <c:dLbl>
              <c:idx val="1"/>
              <c:layout>
                <c:manualLayout>
                  <c:x val="-4.736753192870579E-2"/>
                  <c:y val="-4.91172741958331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5-41CF-93D5-6869D97C5CAA}"/>
                </c:ext>
              </c:extLst>
            </c:dLbl>
            <c:dLbl>
              <c:idx val="2"/>
              <c:layout>
                <c:manualLayout>
                  <c:x val="-4.138995829962188E-2"/>
                  <c:y val="-0.114728775948472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5-41CF-93D5-6869D97C5CAA}"/>
                </c:ext>
              </c:extLst>
            </c:dLbl>
            <c:dLbl>
              <c:idx val="3"/>
              <c:layout>
                <c:manualLayout>
                  <c:x val="-3.4656522154111746E-2"/>
                  <c:y val="-0.1710302917405711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5-41CF-93D5-6869D97C5CAA}"/>
                </c:ext>
              </c:extLst>
            </c:dLbl>
            <c:dLbl>
              <c:idx val="4"/>
              <c:layout>
                <c:manualLayout>
                  <c:x val="2.2435933192272052E-4"/>
                  <c:y val="-0.221896084360532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5-41CF-93D5-6869D97C5CAA}"/>
                </c:ext>
              </c:extLst>
            </c:dLbl>
            <c:dLbl>
              <c:idx val="5"/>
              <c:layout>
                <c:manualLayout>
                  <c:x val="2.9167155847925102E-2"/>
                  <c:y val="-0.263385806508593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5-41CF-93D5-6869D97C5CAA}"/>
                </c:ext>
              </c:extLst>
            </c:dLbl>
            <c:dLbl>
              <c:idx val="6"/>
              <c:layout>
                <c:manualLayout>
                  <c:x val="7.6642351923283628E-2"/>
                  <c:y val="-0.2839990427852895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D5-41CF-93D5-6869D97C5CAA}"/>
                </c:ext>
              </c:extLst>
            </c:dLbl>
            <c:dLbl>
              <c:idx val="7"/>
              <c:layout>
                <c:manualLayout>
                  <c:x val="0.10016758774406587"/>
                  <c:y val="-0.257299967237631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D5-41CF-93D5-6869D97C5CAA}"/>
                </c:ext>
              </c:extLst>
            </c:dLbl>
            <c:dLbl>
              <c:idx val="8"/>
              <c:layout>
                <c:manualLayout>
                  <c:x val="0.14439754207003075"/>
                  <c:y val="-0.205344790884504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D5-41CF-93D5-6869D97C5CAA}"/>
                </c:ext>
              </c:extLst>
            </c:dLbl>
            <c:dLbl>
              <c:idx val="9"/>
              <c:layout>
                <c:manualLayout>
                  <c:x val="0.18181490585319304"/>
                  <c:y val="-0.14896646156625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D5-41CF-93D5-6869D97C5CAA}"/>
                </c:ext>
              </c:extLst>
            </c:dLbl>
            <c:dLbl>
              <c:idx val="10"/>
              <c:layout>
                <c:manualLayout>
                  <c:x val="0.19130688159830259"/>
                  <c:y val="-0.1039220146788471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D5-41CF-93D5-6869D97C5CAA}"/>
                </c:ext>
              </c:extLst>
            </c:dLbl>
            <c:dLbl>
              <c:idx val="11"/>
              <c:layout>
                <c:manualLayout>
                  <c:x val="0.19383760882180184"/>
                  <c:y val="-4.77039986105148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D5-41CF-93D5-6869D97C5CAA}"/>
                </c:ext>
              </c:extLst>
            </c:dLbl>
            <c:dLbl>
              <c:idx val="12"/>
              <c:layout>
                <c:manualLayout>
                  <c:x val="0.20055351412764311"/>
                  <c:y val="-2.419781566588541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D5-41CF-93D5-6869D97C5CAA}"/>
                </c:ext>
              </c:extLst>
            </c:dLbl>
            <c:dLbl>
              <c:idx val="13"/>
              <c:layout>
                <c:manualLayout>
                  <c:x val="0.20019546000834751"/>
                  <c:y val="4.40248794968371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D5-41CF-93D5-6869D97C5CAA}"/>
                </c:ext>
              </c:extLst>
            </c:dLbl>
            <c:dLbl>
              <c:idx val="14"/>
              <c:layout>
                <c:manualLayout>
                  <c:x val="0.2133398710969753"/>
                  <c:y val="9.19751789685187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D5-41CF-93D5-6869D97C5CAA}"/>
                </c:ext>
              </c:extLst>
            </c:dLbl>
            <c:dLbl>
              <c:idx val="15"/>
              <c:layout>
                <c:manualLayout>
                  <c:x val="0.19941108774256069"/>
                  <c:y val="0.1424239394485504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D5-41CF-93D5-6869D97C5CAA}"/>
                </c:ext>
              </c:extLst>
            </c:dLbl>
            <c:dLbl>
              <c:idx val="16"/>
              <c:layout>
                <c:manualLayout>
                  <c:x val="0.20095371309381957"/>
                  <c:y val="0.1882887672346461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D5-41CF-93D5-6869D97C5CAA}"/>
                </c:ext>
              </c:extLst>
            </c:dLbl>
            <c:dLbl>
              <c:idx val="17"/>
              <c:layout>
                <c:manualLayout>
                  <c:x val="0.21077718107993851"/>
                  <c:y val="0.2367035242014697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D5-41CF-93D5-6869D97C5CAA}"/>
                </c:ext>
              </c:extLst>
            </c:dLbl>
            <c:dLbl>
              <c:idx val="18"/>
              <c:layout>
                <c:manualLayout>
                  <c:x val="0.13546540217959691"/>
                  <c:y val="0.2310518212969077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D5-41CF-93D5-6869D97C5CAA}"/>
                </c:ext>
              </c:extLst>
            </c:dLbl>
            <c:dLbl>
              <c:idx val="19"/>
              <c:layout>
                <c:manualLayout>
                  <c:x val="0.1171933975670382"/>
                  <c:y val="0.2834002393658747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D5-41CF-93D5-6869D97C5CAA}"/>
                </c:ext>
              </c:extLst>
            </c:dLbl>
            <c:dLbl>
              <c:idx val="20"/>
              <c:layout>
                <c:manualLayout>
                  <c:x val="7.116538116029722E-2"/>
                  <c:y val="0.320779660400248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D5-41CF-93D5-6869D97C5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'Estratégia - ENQUADRAMENTO'!$B$11:$B$31</c:f>
              <c:strCache>
                <c:ptCount val="21"/>
                <c:pt idx="0">
                  <c:v>UE</c:v>
                </c:pt>
                <c:pt idx="1">
                  <c:v>Global/UE</c:v>
                </c:pt>
                <c:pt idx="2">
                  <c:v>Global</c:v>
                </c:pt>
                <c:pt idx="3">
                  <c:v>EUA/UE</c:v>
                </c:pt>
                <c:pt idx="4">
                  <c:v>Paris/UE</c:v>
                </c:pt>
                <c:pt idx="5">
                  <c:v>Polónia/UE</c:v>
                </c:pt>
                <c:pt idx="6">
                  <c:v>Reino Unido/UE</c:v>
                </c:pt>
                <c:pt idx="7">
                  <c:v>Turquia/UE</c:v>
                </c:pt>
                <c:pt idx="8">
                  <c:v>Azerbaijão/UE</c:v>
                </c:pt>
                <c:pt idx="9">
                  <c:v>França/UE</c:v>
                </c:pt>
                <c:pt idx="10">
                  <c:v>Ucrânia/EU</c:v>
                </c:pt>
                <c:pt idx="11">
                  <c:v>Alemanha/UE</c:v>
                </c:pt>
                <c:pt idx="12">
                  <c:v>Grécia/UE</c:v>
                </c:pt>
                <c:pt idx="13">
                  <c:v>Holanda/UE</c:v>
                </c:pt>
                <c:pt idx="14">
                  <c:v>Irão/UE</c:v>
                </c:pt>
                <c:pt idx="15">
                  <c:v>Irlanda/UE</c:v>
                </c:pt>
                <c:pt idx="16">
                  <c:v>NATO/EU</c:v>
                </c:pt>
                <c:pt idx="17">
                  <c:v>PE</c:v>
                </c:pt>
                <c:pt idx="18">
                  <c:v>Roménia/UE</c:v>
                </c:pt>
                <c:pt idx="19">
                  <c:v>Rússia/UE</c:v>
                </c:pt>
                <c:pt idx="20">
                  <c:v>Tunísia/UE</c:v>
                </c:pt>
              </c:strCache>
            </c:strRef>
          </c:cat>
          <c:val>
            <c:numRef>
              <c:f>'Estratégia - ENQUADRAMENTO'!$G$11:$G$31</c:f>
              <c:numCache>
                <c:formatCode>General</c:formatCode>
                <c:ptCount val="21"/>
                <c:pt idx="0">
                  <c:v>190</c:v>
                </c:pt>
                <c:pt idx="1">
                  <c:v>11</c:v>
                </c:pt>
                <c:pt idx="2">
                  <c:v>10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7-4355-818D-DE75FA63DEB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0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Relação entre nº de Publicações e Enquadramento (total do período analisado)</a:t>
            </a:r>
          </a:p>
        </c:rich>
      </c:tx>
      <c:layout>
        <c:manualLayout>
          <c:xMode val="edge"/>
          <c:yMode val="edge"/>
          <c:x val="0.35953846153846153"/>
          <c:y val="4.835806643888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'Estratégia - ENQUADRAMENTO'!$G$10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'Estratégia - ENQUADRAMENTO'!$B$11:$B$31</c:f>
              <c:strCache>
                <c:ptCount val="21"/>
                <c:pt idx="0">
                  <c:v>UE</c:v>
                </c:pt>
                <c:pt idx="1">
                  <c:v>Global/UE</c:v>
                </c:pt>
                <c:pt idx="2">
                  <c:v>Global</c:v>
                </c:pt>
                <c:pt idx="3">
                  <c:v>EUA/UE</c:v>
                </c:pt>
                <c:pt idx="4">
                  <c:v>Paris/UE</c:v>
                </c:pt>
                <c:pt idx="5">
                  <c:v>Polónia/UE</c:v>
                </c:pt>
                <c:pt idx="6">
                  <c:v>Reino Unido/UE</c:v>
                </c:pt>
                <c:pt idx="7">
                  <c:v>Turquia/UE</c:v>
                </c:pt>
                <c:pt idx="8">
                  <c:v>Azerbaijão/UE</c:v>
                </c:pt>
                <c:pt idx="9">
                  <c:v>França/UE</c:v>
                </c:pt>
                <c:pt idx="10">
                  <c:v>Ucrânia/EU</c:v>
                </c:pt>
                <c:pt idx="11">
                  <c:v>Alemanha/UE</c:v>
                </c:pt>
                <c:pt idx="12">
                  <c:v>Grécia/UE</c:v>
                </c:pt>
                <c:pt idx="13">
                  <c:v>Holanda/UE</c:v>
                </c:pt>
                <c:pt idx="14">
                  <c:v>Irão/UE</c:v>
                </c:pt>
                <c:pt idx="15">
                  <c:v>Irlanda/UE</c:v>
                </c:pt>
                <c:pt idx="16">
                  <c:v>NATO/EU</c:v>
                </c:pt>
                <c:pt idx="17">
                  <c:v>PE</c:v>
                </c:pt>
                <c:pt idx="18">
                  <c:v>Roménia/UE</c:v>
                </c:pt>
                <c:pt idx="19">
                  <c:v>Rússia/UE</c:v>
                </c:pt>
                <c:pt idx="20">
                  <c:v>Tunísia/UE</c:v>
                </c:pt>
              </c:strCache>
            </c:strRef>
          </c:cat>
          <c:val>
            <c:numRef>
              <c:f>'Estratégia - ENQUADRAMENTO'!$G$11:$G$31</c:f>
              <c:numCache>
                <c:formatCode>General</c:formatCode>
                <c:ptCount val="21"/>
                <c:pt idx="0">
                  <c:v>190</c:v>
                </c:pt>
                <c:pt idx="1">
                  <c:v>11</c:v>
                </c:pt>
                <c:pt idx="2">
                  <c:v>10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A-44C5-9014-6F84E69D5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06485136"/>
        <c:axId val="806478064"/>
      </c:barChart>
      <c:catAx>
        <c:axId val="806485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US"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TEMA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US"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PT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478064"/>
        <c:crosses val="autoZero"/>
        <c:auto val="1"/>
        <c:lblAlgn val="ctr"/>
        <c:lblOffset val="100"/>
        <c:noMultiLvlLbl val="0"/>
      </c:catAx>
      <c:valAx>
        <c:axId val="80647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lang="en-US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Nº PUBLICAÇÕES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>
                <a:defRPr lang="en-US"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pt-PT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48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900">
                <a:solidFill>
                  <a:schemeClr val="tx1"/>
                </a:solidFill>
              </a:rPr>
              <a:t>Percentagem de PUBLICAÇÕES por DIMENSÃO DE COMUNICAÇÃO INSTITUCIONAL</a:t>
            </a:r>
          </a:p>
        </c:rich>
      </c:tx>
      <c:layout>
        <c:manualLayout>
          <c:xMode val="edge"/>
          <c:yMode val="edge"/>
          <c:x val="0.17461132729216747"/>
          <c:y val="5.47550648517747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0502001759079"/>
          <c:y val="0.18728504365835827"/>
          <c:w val="0.5187548228357538"/>
          <c:h val="0.77480539821759475"/>
        </c:manualLayout>
      </c:layout>
      <c:pieChart>
        <c:varyColors val="1"/>
        <c:ser>
          <c:idx val="0"/>
          <c:order val="0"/>
          <c:tx>
            <c:strRef>
              <c:f>'Estratégia - DIMENSÃO COM INSTI'!$B$7:$H$7</c:f>
              <c:strCache>
                <c:ptCount val="1"/>
                <c:pt idx="0">
                  <c:v>PUBLICAÇÕES por DIMENSÃO DE COMUNICAÇÃO INSTITUCIONAL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39-4182-8340-20EE1195D2B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39-4182-8340-20EE1195D2B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39-4182-8340-20EE1195D2B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39-4182-8340-20EE1195D2B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39-4182-8340-20EE1195D2B1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39-4182-8340-20EE1195D2B1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C739-4182-8340-20EE1195D2B1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C739-4182-8340-20EE1195D2B1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C739-4182-8340-20EE1195D2B1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C739-4182-8340-20EE1195D2B1}"/>
              </c:ext>
            </c:extLst>
          </c:dPt>
          <c:dLbls>
            <c:dLbl>
              <c:idx val="0"/>
              <c:layout>
                <c:manualLayout>
                  <c:x val="-0.19216551577268862"/>
                  <c:y val="-7.217326881149578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39-4182-8340-20EE1195D2B1}"/>
                </c:ext>
              </c:extLst>
            </c:dLbl>
            <c:dLbl>
              <c:idx val="1"/>
              <c:layout>
                <c:manualLayout>
                  <c:x val="0.11353503905058963"/>
                  <c:y val="-0.141934582588769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9-4182-8340-20EE1195D2B1}"/>
                </c:ext>
              </c:extLst>
            </c:dLbl>
            <c:dLbl>
              <c:idx val="2"/>
              <c:layout>
                <c:manualLayout>
                  <c:x val="0.13360449766295246"/>
                  <c:y val="5.92272198294343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9-4182-8340-20EE1195D2B1}"/>
                </c:ext>
              </c:extLst>
            </c:dLbl>
            <c:dLbl>
              <c:idx val="3"/>
              <c:layout>
                <c:manualLayout>
                  <c:x val="-3.6497517397326339E-2"/>
                  <c:y val="-2.55496417157656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39-4182-8340-20EE1195D2B1}"/>
                </c:ext>
              </c:extLst>
            </c:dLbl>
            <c:dLbl>
              <c:idx val="4"/>
              <c:layout>
                <c:manualLayout>
                  <c:x val="1.8685947618006227E-2"/>
                  <c:y val="-2.23074391896678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9-4182-8340-20EE1195D2B1}"/>
                </c:ext>
              </c:extLst>
            </c:dLbl>
            <c:dLbl>
              <c:idx val="5"/>
              <c:layout>
                <c:manualLayout>
                  <c:x val="0.11926062975781825"/>
                  <c:y val="-1.23965528618489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9-4182-8340-20EE1195D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'Estratégia - DIMENSÃO COM INSTI'!$B$11:$B$16</c:f>
              <c:strCache>
                <c:ptCount val="6"/>
                <c:pt idx="0">
                  <c:v>Visibilidade</c:v>
                </c:pt>
                <c:pt idx="1">
                  <c:v>Proximidade</c:v>
                </c:pt>
                <c:pt idx="2">
                  <c:v>Discussão Pública</c:v>
                </c:pt>
                <c:pt idx="3">
                  <c:v>Transparência</c:v>
                </c:pt>
                <c:pt idx="4">
                  <c:v>Posição</c:v>
                </c:pt>
                <c:pt idx="5">
                  <c:v>Demarcação</c:v>
                </c:pt>
              </c:strCache>
            </c:strRef>
          </c:cat>
          <c:val>
            <c:numRef>
              <c:f>'Estratégia - DIMENSÃO COM INSTI'!$G$11:$G$16</c:f>
              <c:numCache>
                <c:formatCode>General</c:formatCode>
                <c:ptCount val="6"/>
                <c:pt idx="0">
                  <c:v>120</c:v>
                </c:pt>
                <c:pt idx="1">
                  <c:v>62</c:v>
                </c:pt>
                <c:pt idx="2">
                  <c:v>42</c:v>
                </c:pt>
                <c:pt idx="3">
                  <c:v>16</c:v>
                </c:pt>
                <c:pt idx="4">
                  <c:v>8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739-4182-8340-20EE1195D2B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900">
                <a:solidFill>
                  <a:schemeClr val="tx1"/>
                </a:solidFill>
              </a:rPr>
              <a:t>Percentagem de PUBLICAÇÕES por TIPO DE PUBLICAÇÃO</a:t>
            </a:r>
          </a:p>
        </c:rich>
      </c:tx>
      <c:layout>
        <c:manualLayout>
          <c:xMode val="edge"/>
          <c:yMode val="edge"/>
          <c:x val="0.28041202565124734"/>
          <c:y val="3.513544708783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0502001759079"/>
          <c:y val="0.18728504365835827"/>
          <c:w val="0.5187548228357538"/>
          <c:h val="0.77480539821759475"/>
        </c:manualLayout>
      </c:layout>
      <c:pieChart>
        <c:varyColors val="1"/>
        <c:ser>
          <c:idx val="0"/>
          <c:order val="0"/>
          <c:tx>
            <c:strRef>
              <c:f>'Estratégia - TIPO'!$B$7:$H$7</c:f>
              <c:strCache>
                <c:ptCount val="1"/>
                <c:pt idx="0">
                  <c:v>PUBLICAÇÕES por TIPO DE PUBLICAÇÃO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DA-4060-8AAC-F2FFB6A6374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DA-4060-8AAC-F2FFB6A6374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DA-4060-8AAC-F2FFB6A6374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DA-4060-8AAC-F2FFB6A6374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DA-4060-8AAC-F2FFB6A6374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BBDA-4060-8AAC-F2FFB6A6374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BBDA-4060-8AAC-F2FFB6A6374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BDA-4060-8AAC-F2FFB6A63747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BBDA-4060-8AAC-F2FFB6A63747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BBDA-4060-8AAC-F2FFB6A63747}"/>
              </c:ext>
            </c:extLst>
          </c:dPt>
          <c:dLbls>
            <c:dLbl>
              <c:idx val="0"/>
              <c:layout>
                <c:manualLayout>
                  <c:x val="-0.14653586165820515"/>
                  <c:y val="-0.133343441077918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DA-4060-8AAC-F2FFB6A63747}"/>
                </c:ext>
              </c:extLst>
            </c:dLbl>
            <c:dLbl>
              <c:idx val="2"/>
              <c:layout>
                <c:manualLayout>
                  <c:x val="-5.6115655658444563E-2"/>
                  <c:y val="-2.76596885711202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DA-4060-8AAC-F2FFB6A63747}"/>
                </c:ext>
              </c:extLst>
            </c:dLbl>
            <c:dLbl>
              <c:idx val="3"/>
              <c:layout>
                <c:manualLayout>
                  <c:x val="3.6095132766629123E-2"/>
                  <c:y val="-2.554899101257972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DA-4060-8AAC-F2FFB6A63747}"/>
                </c:ext>
              </c:extLst>
            </c:dLbl>
            <c:dLbl>
              <c:idx val="4"/>
              <c:layout>
                <c:manualLayout>
                  <c:x val="2.4908232826428945E-2"/>
                  <c:y val="-2.23074142706249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DA-4060-8AAC-F2FFB6A63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'Estratégia - TIPO'!$B$11:$B$15</c:f>
              <c:strCache>
                <c:ptCount val="5"/>
                <c:pt idx="0">
                  <c:v>Informar</c:v>
                </c:pt>
                <c:pt idx="1">
                  <c:v>Fomentar Envolvimento</c:v>
                </c:pt>
                <c:pt idx="2">
                  <c:v>Fomentar Interação</c:v>
                </c:pt>
                <c:pt idx="3">
                  <c:v>Fomentar Partilha</c:v>
                </c:pt>
                <c:pt idx="4">
                  <c:v>Declarar</c:v>
                </c:pt>
              </c:strCache>
            </c:strRef>
          </c:cat>
          <c:val>
            <c:numRef>
              <c:f>'Estratégia - TIPO'!$G$11:$G$15</c:f>
              <c:numCache>
                <c:formatCode>General</c:formatCode>
                <c:ptCount val="5"/>
                <c:pt idx="0">
                  <c:v>172</c:v>
                </c:pt>
                <c:pt idx="1">
                  <c:v>49</c:v>
                </c:pt>
                <c:pt idx="2">
                  <c:v>12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BDA-4060-8AAC-F2FFB6A6374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900">
                <a:solidFill>
                  <a:schemeClr val="tx1"/>
                </a:solidFill>
              </a:rPr>
              <a:t>Percentagem de PUBLICAÇÕES por FORMATO</a:t>
            </a:r>
          </a:p>
        </c:rich>
      </c:tx>
      <c:layout>
        <c:manualLayout>
          <c:xMode val="edge"/>
          <c:yMode val="edge"/>
          <c:x val="0.33641207294021414"/>
          <c:y val="2.1121435503673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0502001759079"/>
          <c:y val="0.18728504365835827"/>
          <c:w val="0.5187548228357538"/>
          <c:h val="0.7748053982175947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A9-4276-B914-6D9A913018C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A9-4276-B914-6D9A913018C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A9-4276-B914-6D9A913018C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A9-4276-B914-6D9A913018C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A9-4276-B914-6D9A913018C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EA9-4276-B914-6D9A913018C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EA9-4276-B914-6D9A913018C0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0EA9-4276-B914-6D9A913018C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0EA9-4276-B914-6D9A913018C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0EA9-4276-B914-6D9A913018C0}"/>
              </c:ext>
            </c:extLst>
          </c:dPt>
          <c:dLbls>
            <c:dLbl>
              <c:idx val="0"/>
              <c:layout>
                <c:manualLayout>
                  <c:x val="-9.6252635741213788E-2"/>
                  <c:y val="1.70290880787883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A9-4276-B914-6D9A913018C0}"/>
                </c:ext>
              </c:extLst>
            </c:dLbl>
            <c:dLbl>
              <c:idx val="2"/>
              <c:layout>
                <c:manualLayout>
                  <c:x val="-2.1119582077194818E-2"/>
                  <c:y val="-3.3051812747664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9-4276-B914-6D9A913018C0}"/>
                </c:ext>
              </c:extLst>
            </c:dLbl>
            <c:dLbl>
              <c:idx val="3"/>
              <c:layout>
                <c:manualLayout>
                  <c:x val="3.6095132766629123E-2"/>
                  <c:y val="-2.554899101257972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9-4276-B914-6D9A91301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'Estratégia - FORMATO'!$C$11:$C$19</c:f>
              <c:strCache>
                <c:ptCount val="9"/>
                <c:pt idx="0">
                  <c:v>Imagem </c:v>
                </c:pt>
                <c:pt idx="1">
                  <c:v>Vídeo</c:v>
                </c:pt>
                <c:pt idx="2">
                  <c:v>GIF</c:v>
                </c:pt>
                <c:pt idx="3">
                  <c:v>Álbum</c:v>
                </c:pt>
                <c:pt idx="4">
                  <c:v>Infográfico</c:v>
                </c:pt>
                <c:pt idx="5">
                  <c:v>Nota</c:v>
                </c:pt>
                <c:pt idx="6">
                  <c:v>Notícia</c:v>
                </c:pt>
                <c:pt idx="7">
                  <c:v>Sessão Perguntas e Respostas</c:v>
                </c:pt>
                <c:pt idx="8">
                  <c:v>Texto</c:v>
                </c:pt>
              </c:strCache>
            </c:strRef>
          </c:cat>
          <c:val>
            <c:numRef>
              <c:f>'Estratégia - FORMATO'!$H$11:$H$19</c:f>
              <c:numCache>
                <c:formatCode>General</c:formatCode>
                <c:ptCount val="9"/>
                <c:pt idx="0">
                  <c:v>133</c:v>
                </c:pt>
                <c:pt idx="1">
                  <c:v>69</c:v>
                </c:pt>
                <c:pt idx="2">
                  <c:v>25</c:v>
                </c:pt>
                <c:pt idx="3">
                  <c:v>8</c:v>
                </c:pt>
                <c:pt idx="4">
                  <c:v>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'Objetivo 2 - FORMATO'!#REF!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11E8-4587-B84F-C459F9A48A0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503239</xdr:colOff>
      <xdr:row>5</xdr:row>
      <xdr:rowOff>110218</xdr:rowOff>
    </xdr:from>
    <xdr:to>
      <xdr:col>27</xdr:col>
      <xdr:colOff>547688</xdr:colOff>
      <xdr:row>25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506865</xdr:colOff>
      <xdr:row>26</xdr:row>
      <xdr:rowOff>32202</xdr:rowOff>
    </xdr:from>
    <xdr:to>
      <xdr:col>27</xdr:col>
      <xdr:colOff>523873</xdr:colOff>
      <xdr:row>42</xdr:row>
      <xdr:rowOff>119061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528635</xdr:colOff>
      <xdr:row>43</xdr:row>
      <xdr:rowOff>95249</xdr:rowOff>
    </xdr:from>
    <xdr:to>
      <xdr:col>25</xdr:col>
      <xdr:colOff>129267</xdr:colOff>
      <xdr:row>82</xdr:row>
      <xdr:rowOff>40821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268060</xdr:colOff>
      <xdr:row>4</xdr:row>
      <xdr:rowOff>189819</xdr:rowOff>
    </xdr:from>
    <xdr:to>
      <xdr:col>23</xdr:col>
      <xdr:colOff>392206</xdr:colOff>
      <xdr:row>20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255697</xdr:colOff>
      <xdr:row>41</xdr:row>
      <xdr:rowOff>42531</xdr:rowOff>
    </xdr:from>
    <xdr:to>
      <xdr:col>22</xdr:col>
      <xdr:colOff>243472</xdr:colOff>
      <xdr:row>75</xdr:row>
      <xdr:rowOff>7896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247929</xdr:colOff>
      <xdr:row>21</xdr:row>
      <xdr:rowOff>133067</xdr:rowOff>
    </xdr:from>
    <xdr:to>
      <xdr:col>23</xdr:col>
      <xdr:colOff>366991</xdr:colOff>
      <xdr:row>39</xdr:row>
      <xdr:rowOff>118182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1B4C3B7-B577-4970-827B-2CA3A4428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351313</xdr:colOff>
      <xdr:row>4</xdr:row>
      <xdr:rowOff>204107</xdr:rowOff>
    </xdr:from>
    <xdr:to>
      <xdr:col>23</xdr:col>
      <xdr:colOff>329045</xdr:colOff>
      <xdr:row>27</xdr:row>
      <xdr:rowOff>103908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3C0B6A-6DC5-4014-A5C7-51800BAFD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394607</xdr:colOff>
      <xdr:row>5</xdr:row>
      <xdr:rowOff>40819</xdr:rowOff>
    </xdr:from>
    <xdr:to>
      <xdr:col>22</xdr:col>
      <xdr:colOff>222250</xdr:colOff>
      <xdr:row>28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B2818F-C15F-4B9B-8248-70A24C7D5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476250</xdr:colOff>
      <xdr:row>5</xdr:row>
      <xdr:rowOff>31294</xdr:rowOff>
    </xdr:from>
    <xdr:to>
      <xdr:col>22</xdr:col>
      <xdr:colOff>213177</xdr:colOff>
      <xdr:row>33</xdr:row>
      <xdr:rowOff>108858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398319</xdr:colOff>
      <xdr:row>30</xdr:row>
      <xdr:rowOff>161058</xdr:rowOff>
    </xdr:from>
    <xdr:to>
      <xdr:col>22</xdr:col>
      <xdr:colOff>588819</xdr:colOff>
      <xdr:row>62</xdr:row>
      <xdr:rowOff>121227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329046</xdr:colOff>
      <xdr:row>105</xdr:row>
      <xdr:rowOff>51955</xdr:rowOff>
    </xdr:from>
    <xdr:to>
      <xdr:col>22</xdr:col>
      <xdr:colOff>519546</xdr:colOff>
      <xdr:row>137</xdr:row>
      <xdr:rowOff>12124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398318</xdr:colOff>
      <xdr:row>186</xdr:row>
      <xdr:rowOff>86590</xdr:rowOff>
    </xdr:from>
    <xdr:to>
      <xdr:col>22</xdr:col>
      <xdr:colOff>588818</xdr:colOff>
      <xdr:row>218</xdr:row>
      <xdr:rowOff>46760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252</xdr:row>
      <xdr:rowOff>0</xdr:rowOff>
    </xdr:from>
    <xdr:to>
      <xdr:col>23</xdr:col>
      <xdr:colOff>190500</xdr:colOff>
      <xdr:row>286</xdr:row>
      <xdr:rowOff>133351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311728</xdr:colOff>
      <xdr:row>293</xdr:row>
      <xdr:rowOff>-1</xdr:rowOff>
    </xdr:from>
    <xdr:to>
      <xdr:col>19</xdr:col>
      <xdr:colOff>121229</xdr:colOff>
      <xdr:row>325</xdr:row>
      <xdr:rowOff>167986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21</xdr:row>
      <xdr:rowOff>0</xdr:rowOff>
    </xdr:from>
    <xdr:to>
      <xdr:col>25</xdr:col>
      <xdr:colOff>602632</xdr:colOff>
      <xdr:row>55</xdr:row>
      <xdr:rowOff>87169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89</xdr:row>
      <xdr:rowOff>0</xdr:rowOff>
    </xdr:from>
    <xdr:to>
      <xdr:col>25</xdr:col>
      <xdr:colOff>602632</xdr:colOff>
      <xdr:row>123</xdr:row>
      <xdr:rowOff>87169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172</xdr:row>
      <xdr:rowOff>0</xdr:rowOff>
    </xdr:from>
    <xdr:to>
      <xdr:col>25</xdr:col>
      <xdr:colOff>602632</xdr:colOff>
      <xdr:row>206</xdr:row>
      <xdr:rowOff>87169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51956</xdr:colOff>
      <xdr:row>240</xdr:row>
      <xdr:rowOff>138546</xdr:rowOff>
    </xdr:from>
    <xdr:to>
      <xdr:col>26</xdr:col>
      <xdr:colOff>48452</xdr:colOff>
      <xdr:row>275</xdr:row>
      <xdr:rowOff>35215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242455</xdr:colOff>
      <xdr:row>299</xdr:row>
      <xdr:rowOff>203489</xdr:rowOff>
    </xdr:from>
    <xdr:to>
      <xdr:col>19</xdr:col>
      <xdr:colOff>432955</xdr:colOff>
      <xdr:row>318</xdr:row>
      <xdr:rowOff>86591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207817</xdr:colOff>
      <xdr:row>320</xdr:row>
      <xdr:rowOff>173181</xdr:rowOff>
    </xdr:from>
    <xdr:to>
      <xdr:col>19</xdr:col>
      <xdr:colOff>398317</xdr:colOff>
      <xdr:row>339</xdr:row>
      <xdr:rowOff>4328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443AE20-A6D3-48F9-9DC8-7B4F1EF63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21</xdr:row>
      <xdr:rowOff>0</xdr:rowOff>
    </xdr:from>
    <xdr:to>
      <xdr:col>25</xdr:col>
      <xdr:colOff>602632</xdr:colOff>
      <xdr:row>55</xdr:row>
      <xdr:rowOff>87169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89</xdr:row>
      <xdr:rowOff>0</xdr:rowOff>
    </xdr:from>
    <xdr:to>
      <xdr:col>25</xdr:col>
      <xdr:colOff>602632</xdr:colOff>
      <xdr:row>123</xdr:row>
      <xdr:rowOff>87169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172</xdr:row>
      <xdr:rowOff>0</xdr:rowOff>
    </xdr:from>
    <xdr:to>
      <xdr:col>25</xdr:col>
      <xdr:colOff>602632</xdr:colOff>
      <xdr:row>206</xdr:row>
      <xdr:rowOff>87169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240</xdr:row>
      <xdr:rowOff>0</xdr:rowOff>
    </xdr:from>
    <xdr:to>
      <xdr:col>25</xdr:col>
      <xdr:colOff>602632</xdr:colOff>
      <xdr:row>274</xdr:row>
      <xdr:rowOff>87169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363682</xdr:colOff>
      <xdr:row>302</xdr:row>
      <xdr:rowOff>30307</xdr:rowOff>
    </xdr:from>
    <xdr:to>
      <xdr:col>19</xdr:col>
      <xdr:colOff>554183</xdr:colOff>
      <xdr:row>335</xdr:row>
      <xdr:rowOff>85726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178625</xdr:colOff>
      <xdr:row>6</xdr:row>
      <xdr:rowOff>-1</xdr:rowOff>
    </xdr:from>
    <xdr:to>
      <xdr:col>24</xdr:col>
      <xdr:colOff>363682</xdr:colOff>
      <xdr:row>23</xdr:row>
      <xdr:rowOff>103908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163285</xdr:colOff>
      <xdr:row>24</xdr:row>
      <xdr:rowOff>81643</xdr:rowOff>
    </xdr:from>
    <xdr:to>
      <xdr:col>27</xdr:col>
      <xdr:colOff>-1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4FA794-DA5D-434D-98B7-B42AF27EE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0" name="Tabela20" displayName="Tabela20" ref="B7:P38" totalsRowShown="0" headerRowDxfId="119" headerRowBorderDxfId="117" tableBorderDxfId="118" totalsRowBorderDxfId="116">
  <autoFilter ref="B7:P3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Data" dataDxfId="115"/>
    <tableColumn id="2" name="Hora" dataDxfId="103"/>
    <tableColumn id="4" name="Links" dataDxfId="101"/>
    <tableColumn id="5" name="Tema" dataDxfId="102"/>
    <tableColumn id="6" name="Enquadramento" dataDxfId="114"/>
    <tableColumn id="7" name="Tipo" dataDxfId="113"/>
    <tableColumn id="8" name="Dimensão" dataDxfId="112"/>
    <tableColumn id="9" name="Formato" dataDxfId="111"/>
    <tableColumn id="10" name="Abordagem visual" dataDxfId="110"/>
    <tableColumn id="11" name="Língua" dataDxfId="109"/>
    <tableColumn id="12" name="Hipertexto" dataDxfId="108"/>
    <tableColumn id="13" name="Apelo" dataDxfId="107"/>
    <tableColumn id="14" name="Gostos" dataDxfId="106"/>
    <tableColumn id="15" name="Comentários" dataDxfId="105"/>
    <tableColumn id="16" name="Partilhas" dataDxfId="104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5" name="Tabela3" displayName="Tabela3" ref="B10:H31" totalsRowShown="0" headerRowDxfId="9" dataDxfId="8" tableBorderDxfId="7">
  <autoFilter ref="B10:H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ref="B11:H31">
    <sortCondition descending="1" ref="H11"/>
  </sortState>
  <tableColumns count="7">
    <tableColumn id="1" name="Enquadramento" dataDxfId="6"/>
    <tableColumn id="2" name="Novembro" dataDxfId="5"/>
    <tableColumn id="3" name="Dezembro" dataDxfId="4"/>
    <tableColumn id="4" name="Janeiro" dataDxfId="3"/>
    <tableColumn id="5" name="Fevereiro" dataDxfId="2"/>
    <tableColumn id="6" name="Total" dataDxfId="1">
      <calculatedColumnFormula>+SUM(Tabela3[[#This Row],[Novembro]:[Fevereiro]])</calculatedColumnFormula>
    </tableColumn>
    <tableColumn id="7" name="%" dataDxfId="0">
      <calculatedColumnFormula>+(Tabela3[[#This Row],[Total]]/252)*100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1" name="Tabela21" displayName="Tabela21" ref="B39:P68" headerRowCount="0" totalsRowShown="0" headerRowDxfId="229" headerRowBorderDxfId="228" tableBorderDxfId="227" totalsRowBorderDxfId="226">
  <tableColumns count="15">
    <tableColumn id="1" name="Data" headerRowDxfId="83" dataDxfId="225"/>
    <tableColumn id="2" name="Hora" headerRowDxfId="84" dataDxfId="100"/>
    <tableColumn id="4" name="Links" headerRowDxfId="85" dataDxfId="98"/>
    <tableColumn id="5" name="Tema" headerRowDxfId="86" dataDxfId="99"/>
    <tableColumn id="6" name="Enquadramento" headerRowDxfId="87" dataDxfId="224"/>
    <tableColumn id="7" name="Tipo" headerRowDxfId="88" dataDxfId="223"/>
    <tableColumn id="8" name="Dimensão" headerRowDxfId="89" dataDxfId="222"/>
    <tableColumn id="9" name="Formato" headerRowDxfId="90" dataDxfId="221"/>
    <tableColumn id="10" name="Abordagem visual" headerRowDxfId="91" dataDxfId="220"/>
    <tableColumn id="11" name="Língua" headerRowDxfId="92" dataDxfId="219"/>
    <tableColumn id="12" name="Hipertexto" headerRowDxfId="93" dataDxfId="218"/>
    <tableColumn id="13" name="Apelo" headerRowDxfId="94" dataDxfId="217"/>
    <tableColumn id="14" name="Gostos" headerRowDxfId="95" dataDxfId="216"/>
    <tableColumn id="15" name="Comentários" headerRowDxfId="96" dataDxfId="215"/>
    <tableColumn id="16" name="Partilhas" headerRowDxfId="97" dataDxfId="21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2" name="Tabela22" displayName="Tabela22" ref="B7:P43" totalsRowShown="0" headerRowDxfId="46" headerRowBorderDxfId="213" tableBorderDxfId="212" totalsRowBorderDxfId="211">
  <autoFilter ref="B7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Data" dataDxfId="61"/>
    <tableColumn id="2" name="Hora" dataDxfId="60"/>
    <tableColumn id="4" name="Links" dataDxfId="59" dataCellStyle="Hiperligação"/>
    <tableColumn id="5" name="Tema" dataDxfId="58"/>
    <tableColumn id="6" name="Enquadramento" dataDxfId="57"/>
    <tableColumn id="7" name="Tipo" dataDxfId="56"/>
    <tableColumn id="8" name="Dimensão" dataDxfId="55"/>
    <tableColumn id="9" name="Formato" dataDxfId="54"/>
    <tableColumn id="10" name="Abordagem visual" dataDxfId="53"/>
    <tableColumn id="11" name="Língua" dataDxfId="52"/>
    <tableColumn id="12" name="Hipertexto" dataDxfId="51"/>
    <tableColumn id="13" name="Apelo" dataDxfId="50"/>
    <tableColumn id="14" name="Gostos" dataDxfId="49"/>
    <tableColumn id="15" name="Comentários" dataDxfId="48"/>
    <tableColumn id="16" name="Partilhas" dataDxfId="4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24" name="Tabela24" displayName="Tabela24" ref="B44:P79" headerRowCount="0" totalsRowShown="0" headerRowDxfId="82" headerRowBorderDxfId="80" tableBorderDxfId="81" totalsRowBorderDxfId="79">
  <tableColumns count="15">
    <tableColumn id="1" name="Data" headerRowDxfId="210" dataDxfId="45"/>
    <tableColumn id="2" name="Hora" headerRowDxfId="209" dataDxfId="44"/>
    <tableColumn id="4" name="Links" headerRowDxfId="208" dataDxfId="43" dataCellStyle="Hiperligação"/>
    <tableColumn id="5" name="Tema" headerRowDxfId="207" dataDxfId="42"/>
    <tableColumn id="6" name="Enquadramento" headerRowDxfId="206" dataDxfId="41"/>
    <tableColumn id="7" name="Tipo" headerRowDxfId="205" dataDxfId="40"/>
    <tableColumn id="8" name="Dimensão" headerRowDxfId="204" dataDxfId="39"/>
    <tableColumn id="9" name="Formato" headerRowDxfId="203" dataDxfId="38"/>
    <tableColumn id="10" name="Abordagem visual" headerRowDxfId="202" dataDxfId="37"/>
    <tableColumn id="11" name="Língua" headerRowDxfId="201" dataDxfId="36"/>
    <tableColumn id="12" name="Hipertexto" headerRowDxfId="200" dataDxfId="35"/>
    <tableColumn id="13" name="Apelo" headerRowDxfId="199" dataDxfId="34"/>
    <tableColumn id="14" name="Gostos" headerRowDxfId="198" dataDxfId="33"/>
    <tableColumn id="15" name="Comentários" headerRowDxfId="197" dataDxfId="32"/>
    <tableColumn id="16" name="Partilhas" headerRowDxfId="196" dataDxfId="3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16" name="Tabela17" displayName="Tabela17" ref="B45:P67" headerRowCount="0" totalsRowShown="0" headerRowDxfId="195" tableBorderDxfId="194">
  <tableColumns count="15">
    <tableColumn id="1" name="Data" headerRowDxfId="62" dataDxfId="193"/>
    <tableColumn id="2" name="Hora" headerRowDxfId="63" dataDxfId="192"/>
    <tableColumn id="4" name="Links" headerRowDxfId="64" dataDxfId="78" dataCellStyle="Hiperligação"/>
    <tableColumn id="5" name="Tema" headerRowDxfId="65" dataDxfId="191"/>
    <tableColumn id="6" name="Enquadramento" headerRowDxfId="66" dataDxfId="190"/>
    <tableColumn id="7" name="Tipo" headerRowDxfId="67" dataDxfId="189"/>
    <tableColumn id="8" name="Dimensão" headerRowDxfId="68" dataDxfId="188"/>
    <tableColumn id="9" name="Formato" headerRowDxfId="69" dataDxfId="187"/>
    <tableColumn id="10" name="Abordagem" headerRowDxfId="70" dataDxfId="186"/>
    <tableColumn id="11" name="Língua" headerRowDxfId="71" dataDxfId="185"/>
    <tableColumn id="12" name="Hipertexto" headerRowDxfId="72" dataDxfId="184"/>
    <tableColumn id="13" name="Apelo" headerRowDxfId="73" dataDxfId="183"/>
    <tableColumn id="14" name="Gostos" headerRowDxfId="74" dataDxfId="182"/>
    <tableColumn id="15" name="Comentários" headerRowDxfId="75" dataDxfId="181"/>
    <tableColumn id="16" name="Partilhas" headerRowDxfId="76" dataDxfId="18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17" name="Tabela18" displayName="Tabela18" ref="B8:P44" totalsRowShown="0" headerRowDxfId="179" dataDxfId="178" tableBorderDxfId="177" totalsRowBorderDxfId="176">
  <autoFilter ref="B8:P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Data" dataDxfId="175"/>
    <tableColumn id="2" name="Hora" dataDxfId="174"/>
    <tableColumn id="4" name="Links" dataDxfId="77" dataCellStyle="Hiperligação"/>
    <tableColumn id="5" name="Tema" dataDxfId="173"/>
    <tableColumn id="6" name="Enquadramento" dataDxfId="172"/>
    <tableColumn id="7" name="Tipo" dataDxfId="171"/>
    <tableColumn id="8" name="Dimensão" dataDxfId="170"/>
    <tableColumn id="9" name="Formato" dataDxfId="169"/>
    <tableColumn id="10" name="Abordagem" dataDxfId="168"/>
    <tableColumn id="11" name="Língua" dataDxfId="167"/>
    <tableColumn id="12" name="Hipertexto" dataDxfId="166"/>
    <tableColumn id="13" name="Apelo" dataDxfId="165"/>
    <tableColumn id="14" name="Gostos" dataDxfId="164"/>
    <tableColumn id="15" name="Comentários" dataDxfId="163"/>
    <tableColumn id="16" name="Partilhas" dataDxfId="16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25" name="Tabela25" displayName="Tabela25" ref="B46:P68" headerRowCount="0" totalsRowShown="0" headerRowDxfId="161" dataDxfId="159" headerRowBorderDxfId="160" tableBorderDxfId="158" totalsRowBorderDxfId="157">
  <tableColumns count="15">
    <tableColumn id="1" name="Data" headerRowDxfId="10" dataDxfId="156"/>
    <tableColumn id="2" name="Hora" headerRowDxfId="11" dataDxfId="30"/>
    <tableColumn id="4" name="Links" headerRowDxfId="12" dataDxfId="28"/>
    <tableColumn id="5" name="Tema" headerRowDxfId="13" dataDxfId="29"/>
    <tableColumn id="7" name="Enquadramento" headerRowDxfId="14" dataDxfId="155"/>
    <tableColumn id="8" name="Tipo" headerRowDxfId="15" dataDxfId="154"/>
    <tableColumn id="9" name="Dimensão" headerRowDxfId="16" dataDxfId="153"/>
    <tableColumn id="10" name="Formato" headerRowDxfId="17" dataDxfId="152"/>
    <tableColumn id="11" name="Abordagem" headerRowDxfId="18" dataDxfId="151"/>
    <tableColumn id="12" name="Língua" headerRowDxfId="19" dataDxfId="150"/>
    <tableColumn id="13" name="Hipertexto" headerRowDxfId="20" dataDxfId="149"/>
    <tableColumn id="14" name="Apelo" headerRowDxfId="21" dataDxfId="148"/>
    <tableColumn id="15" name="Gostos" headerRowDxfId="22" dataDxfId="147"/>
    <tableColumn id="16" name="Comentários" headerRowDxfId="23" dataDxfId="146"/>
    <tableColumn id="17" name="Partilhas" headerRowDxfId="24" dataDxfId="145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26" name="Tabela26" displayName="Tabela26" ref="B8:P45" totalsRowShown="0" headerRowDxfId="144" dataDxfId="142" headerRowBorderDxfId="143" tableBorderDxfId="141" totalsRowBorderDxfId="140">
  <autoFilter ref="B8:P4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Data" dataDxfId="139"/>
    <tableColumn id="2" name="Hora" dataDxfId="27"/>
    <tableColumn id="4" name="Links" dataDxfId="25"/>
    <tableColumn id="5" name="Tema" dataDxfId="26"/>
    <tableColumn id="7" name="Enquadramento" dataDxfId="138"/>
    <tableColumn id="8" name="Tipo" dataDxfId="137"/>
    <tableColumn id="9" name="Dimensão" dataDxfId="136"/>
    <tableColumn id="10" name="Formato" dataDxfId="135"/>
    <tableColumn id="11" name="Abordagem" dataDxfId="134"/>
    <tableColumn id="12" name="Língua" dataDxfId="133"/>
    <tableColumn id="13" name="Hipertexto" dataDxfId="132"/>
    <tableColumn id="14" name="Apelo" dataDxfId="131"/>
    <tableColumn id="15" name="Gostos" dataDxfId="130"/>
    <tableColumn id="16" name="Comentários" dataDxfId="129"/>
    <tableColumn id="17" name="Partilhas" dataDxfId="128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3" name="Tabela14" displayName="Tabela14" ref="B10:H42" totalsRowShown="0" headerRowDxfId="127">
  <autoFilter ref="B10:H4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ref="B11:H42">
    <sortCondition descending="1" ref="H11"/>
  </sortState>
  <tableColumns count="7">
    <tableColumn id="2" name="Tema" dataDxfId="126"/>
    <tableColumn id="3" name="Novembro" dataDxfId="125"/>
    <tableColumn id="4" name="Dezembro" dataDxfId="124"/>
    <tableColumn id="7" name="Janeiro" dataDxfId="123"/>
    <tableColumn id="8" name="Fevereiro" dataDxfId="122"/>
    <tableColumn id="9" name="Total" dataDxfId="121"/>
    <tableColumn id="1" name="%" dataDxfId="120">
      <calculatedColumnFormula>(Tabela14[[#This Row],[Total]]/252)*100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..\..\..\AppData\AppData\Downloads\Novembro\22\1" TargetMode="External"/><Relationship Id="rId3" Type="http://schemas.openxmlformats.org/officeDocument/2006/relationships/hyperlink" Target="../../../AppData/AppData/Downloads/Novembro/18/2" TargetMode="External"/><Relationship Id="rId7" Type="http://schemas.openxmlformats.org/officeDocument/2006/relationships/hyperlink" Target="../../../AppData/AppData/Downloads/Novembro/20/1" TargetMode="External"/><Relationship Id="rId2" Type="http://schemas.openxmlformats.org/officeDocument/2006/relationships/hyperlink" Target="../../../AppData/AppData/Downloads/Novembro/18/1" TargetMode="External"/><Relationship Id="rId1" Type="http://schemas.openxmlformats.org/officeDocument/2006/relationships/hyperlink" Target="../../../AppData/AppData/Downloads/Novembro/17/1" TargetMode="External"/><Relationship Id="rId6" Type="http://schemas.openxmlformats.org/officeDocument/2006/relationships/hyperlink" Target="../../../AppData/AppData/Downloads/Novembro/19/1" TargetMode="External"/><Relationship Id="rId11" Type="http://schemas.openxmlformats.org/officeDocument/2006/relationships/printerSettings" Target="../printerSettings/printerSettings15.bin"/><Relationship Id="rId5" Type="http://schemas.openxmlformats.org/officeDocument/2006/relationships/hyperlink" Target="https://www.facebook.com/europeanparliament/videos/vb.178362315106/10156424207590107/?type=2&amp;theater" TargetMode="External"/><Relationship Id="rId10" Type="http://schemas.openxmlformats.org/officeDocument/2006/relationships/hyperlink" Target="https://www.facebook.com/europeanparliament/photos/a.188069385106.246713.178362315106/10156427338875107/?type=3&amp;theater" TargetMode="External"/><Relationship Id="rId4" Type="http://schemas.openxmlformats.org/officeDocument/2006/relationships/hyperlink" Target="../../../AppData/AppData/Downloads/Novembro/19/2" TargetMode="External"/><Relationship Id="rId9" Type="http://schemas.openxmlformats.org/officeDocument/2006/relationships/hyperlink" Target="../../../AppData/AppData/Downloads/Novembro/23/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europeanparliament/videos/vb.178362315106/10156388223100107/?type=2&amp;theater" TargetMode="External"/><Relationship Id="rId18" Type="http://schemas.openxmlformats.org/officeDocument/2006/relationships/hyperlink" Target="https://www.facebook.com/europeanparliament/photos/a.188069385106.246713.178362315106/10156399880475107/?type=3&amp;theater" TargetMode="External"/><Relationship Id="rId26" Type="http://schemas.openxmlformats.org/officeDocument/2006/relationships/hyperlink" Target="https://www.facebook.com/europeanparliament/photos/a.188069385106.246713.178362315106/10156362938685107/?type=3&amp;theater" TargetMode="External"/><Relationship Id="rId39" Type="http://schemas.openxmlformats.org/officeDocument/2006/relationships/hyperlink" Target="https://www.facebook.com/europeanparliament/videos/vb.178362315106/10156430055330107/?type=2&amp;theater" TargetMode="External"/><Relationship Id="rId21" Type="http://schemas.openxmlformats.org/officeDocument/2006/relationships/hyperlink" Target="https://www.facebook.com/europeanparliament/photos/a.188069385106.246713.178362315106/10156404379765107/?type=3&amp;theater" TargetMode="External"/><Relationship Id="rId34" Type="http://schemas.openxmlformats.org/officeDocument/2006/relationships/hyperlink" Target="https://www.facebook.com/europeanparliament/photos/a.188069385106.246713.178362315106/10156421506930107/?type=3&amp;theater" TargetMode="External"/><Relationship Id="rId42" Type="http://schemas.openxmlformats.org/officeDocument/2006/relationships/hyperlink" Target="https://www.facebook.com/europeanparliament/videos/vb.178362315106/10156441374710107/?type=2&amp;theater" TargetMode="External"/><Relationship Id="rId47" Type="http://schemas.openxmlformats.org/officeDocument/2006/relationships/hyperlink" Target="https://www.facebook.com/europeanparliament/videos/vb.178362315106/10156444296765107/?type=2&amp;theater" TargetMode="External"/><Relationship Id="rId50" Type="http://schemas.openxmlformats.org/officeDocument/2006/relationships/hyperlink" Target="https://www.facebook.com/europeanparliament/photos/a.188069385106.246713.178362315106/10156447358035107/?type=3&amp;theater" TargetMode="External"/><Relationship Id="rId55" Type="http://schemas.openxmlformats.org/officeDocument/2006/relationships/hyperlink" Target="https://www.facebook.com/europeanparliament/photos/a.188069385106.246713.178362315106/10156450500455107/?type=3&amp;theater" TargetMode="External"/><Relationship Id="rId63" Type="http://schemas.openxmlformats.org/officeDocument/2006/relationships/table" Target="../tables/table1.xml"/><Relationship Id="rId7" Type="http://schemas.openxmlformats.org/officeDocument/2006/relationships/hyperlink" Target="https://www.facebook.com/europeanparliament/videos/vb.178362315106/10156424207590107/?type=2&amp;theater" TargetMode="External"/><Relationship Id="rId2" Type="http://schemas.openxmlformats.org/officeDocument/2006/relationships/hyperlink" Target="https://www.facebook.com/europeanparliament/photos/a.188069385106.246713.178362315106/10156367557485107/?type=3&amp;theater" TargetMode="External"/><Relationship Id="rId16" Type="http://schemas.openxmlformats.org/officeDocument/2006/relationships/hyperlink" Target="https://www.facebook.com/europeanparliament/photos/a.188069385106.246713.178362315106/10156390291180107/?type=3&amp;theater" TargetMode="External"/><Relationship Id="rId29" Type="http://schemas.openxmlformats.org/officeDocument/2006/relationships/hyperlink" Target="https://www.facebook.com/europeanparliament/videos/vb.178362315106/10156413314615107/?type=2&amp;theater" TargetMode="External"/><Relationship Id="rId11" Type="http://schemas.openxmlformats.org/officeDocument/2006/relationships/hyperlink" Target="https://www.facebook.com/europeanparliament/photos/a.188069385106.246713.178362315106/10156385448700107/?type=3&amp;theater" TargetMode="External"/><Relationship Id="rId24" Type="http://schemas.openxmlformats.org/officeDocument/2006/relationships/hyperlink" Target="https://www.facebook.com/europeanparliament/photos/a.188069385106.246713.178362315106/10156407405905107/?type=3&amp;theater" TargetMode="External"/><Relationship Id="rId32" Type="http://schemas.openxmlformats.org/officeDocument/2006/relationships/hyperlink" Target="https://www.facebook.com/europeanparliament/photos/a.10151438051605107.835195.178362315106/10156418774185107/?type=3&amp;theater" TargetMode="External"/><Relationship Id="rId37" Type="http://schemas.openxmlformats.org/officeDocument/2006/relationships/hyperlink" Target="https://www.facebook.com/europeanparliament/photos/a.188069385106.246713.178362315106/10156426569555107/?type=3&amp;theater" TargetMode="External"/><Relationship Id="rId40" Type="http://schemas.openxmlformats.org/officeDocument/2006/relationships/hyperlink" Target="https://www.facebook.com/europeanparliament/videos/vb.178362315106/10156438483910107/?type=2&amp;theater" TargetMode="External"/><Relationship Id="rId45" Type="http://schemas.openxmlformats.org/officeDocument/2006/relationships/hyperlink" Target="https://www.facebook.com/europeanparliament/videos/vb.178362315106/10156441915135107/?type=2&amp;theater" TargetMode="External"/><Relationship Id="rId53" Type="http://schemas.openxmlformats.org/officeDocument/2006/relationships/hyperlink" Target="https://www.facebook.com/europeanparliament/photos/a.188069385106.246713.178362315106/10156450410605107/?type=3&amp;theater" TargetMode="External"/><Relationship Id="rId58" Type="http://schemas.openxmlformats.org/officeDocument/2006/relationships/hyperlink" Target="https://www.facebook.com/europeanparliament/photos/a.188069385106.246713.178362315106/10156450496485107/?type=3&amp;theater" TargetMode="External"/><Relationship Id="rId5" Type="http://schemas.openxmlformats.org/officeDocument/2006/relationships/hyperlink" Target="https://www.facebook.com/europeanparliament/videos/vb.178362315106/10156384753335107/?type=2&amp;theater" TargetMode="External"/><Relationship Id="rId61" Type="http://schemas.openxmlformats.org/officeDocument/2006/relationships/hyperlink" Target="https://www.facebook.com/europeanparliament/timeline/story?ut=43&amp;wstart=0&amp;wend=1451635199&amp;hash=-1986643461399671215&amp;pagefilter=2" TargetMode="External"/><Relationship Id="rId19" Type="http://schemas.openxmlformats.org/officeDocument/2006/relationships/hyperlink" Target="https://www.facebook.com/europeanparliament/photos/a.188069385106.246713.178362315106/10156402104830107/?type=3&amp;theater" TargetMode="External"/><Relationship Id="rId14" Type="http://schemas.openxmlformats.org/officeDocument/2006/relationships/hyperlink" Target="https://www.facebook.com/europeanparliament/photos/a.188069385106.246713.178362315106/10156388139710107/?type=3&amp;theater" TargetMode="External"/><Relationship Id="rId22" Type="http://schemas.openxmlformats.org/officeDocument/2006/relationships/hyperlink" Target="https://www.facebook.com/europeanparliament/photos/a.188069385106.246713.178362315106/10156404267845107/?type=3&amp;theater" TargetMode="External"/><Relationship Id="rId27" Type="http://schemas.openxmlformats.org/officeDocument/2006/relationships/hyperlink" Target="https://www.facebook.com/europeanparliament/videos/vb.178362315106/10156409352570107/?type=2&amp;theater" TargetMode="External"/><Relationship Id="rId30" Type="http://schemas.openxmlformats.org/officeDocument/2006/relationships/hyperlink" Target="https://www.facebook.com/europeanparliament/posts/10156412295410107" TargetMode="External"/><Relationship Id="rId35" Type="http://schemas.openxmlformats.org/officeDocument/2006/relationships/hyperlink" Target="https://www.facebook.com/europeanparliament/photos/a.188069385106.246713.178362315106/10156423845945107/?type=3&amp;theater" TargetMode="External"/><Relationship Id="rId43" Type="http://schemas.openxmlformats.org/officeDocument/2006/relationships/hyperlink" Target="https://www.facebook.com/europeanparliament/photos/a.188069385106.246713.178362315106/10156441269715107/?type=3&amp;theater" TargetMode="External"/><Relationship Id="rId48" Type="http://schemas.openxmlformats.org/officeDocument/2006/relationships/hyperlink" Target="https://www.facebook.com/europeanparliament/photos/a.188069385106.246713.178362315106/10156444281555107/?type=3&amp;theater" TargetMode="External"/><Relationship Id="rId56" Type="http://schemas.openxmlformats.org/officeDocument/2006/relationships/hyperlink" Target="https://www.facebook.com/europeanparliament/videos/vb.178362315106/10156450553830107/?type=2&amp;theater" TargetMode="External"/><Relationship Id="rId64" Type="http://schemas.openxmlformats.org/officeDocument/2006/relationships/table" Target="../tables/table2.xml"/><Relationship Id="rId8" Type="http://schemas.openxmlformats.org/officeDocument/2006/relationships/hyperlink" Target="https://www.facebook.com/europeanparliament/photos/a.188069385106.246713.178362315106/10156382612565107/?type=3&amp;theater" TargetMode="External"/><Relationship Id="rId51" Type="http://schemas.openxmlformats.org/officeDocument/2006/relationships/hyperlink" Target="https://www.facebook.com/europeanparliament/timeline/story?ut=43&amp;wstart=0&amp;wend=1448956799&amp;hash=-5028582292242841982&amp;pagefilter=2" TargetMode="External"/><Relationship Id="rId3" Type="http://schemas.openxmlformats.org/officeDocument/2006/relationships/hyperlink" Target="https://www.facebook.com/europeanparliament/photos/a.188069385106.246713.178362315106/10156362684590107/?type=3&amp;theater" TargetMode="External"/><Relationship Id="rId12" Type="http://schemas.openxmlformats.org/officeDocument/2006/relationships/hyperlink" Target="https://www.facebook.com/europeanparliament/videos/vb.178362315106/10156388223100107/?type=2&amp;theater" TargetMode="External"/><Relationship Id="rId17" Type="http://schemas.openxmlformats.org/officeDocument/2006/relationships/hyperlink" Target="https://www.facebook.com/europeanparliament/videos/vb.178362315106/10156390202435107/?type=2&amp;theater" TargetMode="External"/><Relationship Id="rId25" Type="http://schemas.openxmlformats.org/officeDocument/2006/relationships/hyperlink" Target="https://www.facebook.com/europeanparliament/photos/a.188069385106.246713.178362315106/10156407485565107/?type=3&amp;theater" TargetMode="External"/><Relationship Id="rId33" Type="http://schemas.openxmlformats.org/officeDocument/2006/relationships/hyperlink" Target="https://www.facebook.com/europeanparliament/photos/a.188069385106.246713.178362315106/10156421647695107/?type=3&amp;theater" TargetMode="External"/><Relationship Id="rId38" Type="http://schemas.openxmlformats.org/officeDocument/2006/relationships/hyperlink" Target="https://www.facebook.com/europeanparliament/photos/a.188069385106.246713.178362315106/10156429538855107/?type=3&amp;theater" TargetMode="External"/><Relationship Id="rId46" Type="http://schemas.openxmlformats.org/officeDocument/2006/relationships/hyperlink" Target="https://www.facebook.com/europeanparliament/photos/a.188069385106.246713.178362315106/10156444294450107/?type=3&amp;theater" TargetMode="External"/><Relationship Id="rId59" Type="http://schemas.openxmlformats.org/officeDocument/2006/relationships/hyperlink" Target="https://www.facebook.com/europeanparliament/videos/vb.178362315106/10156450302640107/?type=2&amp;theater" TargetMode="External"/><Relationship Id="rId20" Type="http://schemas.openxmlformats.org/officeDocument/2006/relationships/hyperlink" Target="https://www.facebook.com/europeanparliament/photos/a.188069385106.246713.178362315106/10156401679590107/?type=3&amp;theater" TargetMode="External"/><Relationship Id="rId41" Type="http://schemas.openxmlformats.org/officeDocument/2006/relationships/hyperlink" Target="https://www.facebook.com/europeanparliament/photos/a.188069385106.246713.178362315106/10156439225180107/?type=3&amp;theater" TargetMode="External"/><Relationship Id="rId54" Type="http://schemas.openxmlformats.org/officeDocument/2006/relationships/hyperlink" Target="https://www.facebook.com/europeanparliament/photos/a.188069385106.246713.178362315106/10156450569375107/?type=3&amp;theater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s://www.facebook.com/europeanparliament/photos/a.188069385106.246713.178362315106/10156367540475107/?type=3&amp;theater" TargetMode="External"/><Relationship Id="rId6" Type="http://schemas.openxmlformats.org/officeDocument/2006/relationships/hyperlink" Target="https://www.facebook.com/europeanparliament/videos/vb.178362315106/10156385229545107/?type=2&amp;theater" TargetMode="External"/><Relationship Id="rId15" Type="http://schemas.openxmlformats.org/officeDocument/2006/relationships/hyperlink" Target="https://www.facebook.com/europeanparliament/posts/10156390186130107" TargetMode="External"/><Relationship Id="rId23" Type="http://schemas.openxmlformats.org/officeDocument/2006/relationships/hyperlink" Target="https://www.facebook.com/europeanparliament/photos/a.188069385106.246713.178362315106/10156404792285107/?type=3&amp;theater" TargetMode="External"/><Relationship Id="rId28" Type="http://schemas.openxmlformats.org/officeDocument/2006/relationships/hyperlink" Target="https://www.facebook.com/europeanparliament/photos/a.188069385106.246713.178362315106/10156409484405107/?type=3&amp;theater" TargetMode="External"/><Relationship Id="rId36" Type="http://schemas.openxmlformats.org/officeDocument/2006/relationships/hyperlink" Target="https://www.facebook.com/europeanparliament/photos/a.188069385106.246713.178362315106/10156427253340107/?type=3&amp;theater" TargetMode="External"/><Relationship Id="rId49" Type="http://schemas.openxmlformats.org/officeDocument/2006/relationships/hyperlink" Target="https://www.facebook.com/europeanparliament/photos/a.188069385106.246713.178362315106/10156447253730107/?type=3&amp;theater" TargetMode="External"/><Relationship Id="rId57" Type="http://schemas.openxmlformats.org/officeDocument/2006/relationships/hyperlink" Target="https://www.facebook.com/europeanparliament/photos/a.188069385106.246713.178362315106/10156450521600107/?type=3&amp;theater" TargetMode="External"/><Relationship Id="rId10" Type="http://schemas.openxmlformats.org/officeDocument/2006/relationships/hyperlink" Target="https://www.facebook.com/europeanparliament/photos/a.188069385106.246713.178362315106/10156427338875107/?type=3&amp;theater" TargetMode="External"/><Relationship Id="rId31" Type="http://schemas.openxmlformats.org/officeDocument/2006/relationships/hyperlink" Target="https://www.facebook.com/europeanparliament/photos/a.188069385106.246713.178362315106/10156415388835107/?type=3&amp;theater" TargetMode="External"/><Relationship Id="rId44" Type="http://schemas.openxmlformats.org/officeDocument/2006/relationships/hyperlink" Target="https://www.facebook.com/europeanparliament/timeline/story?ut=43&amp;wstart=0&amp;wend=1448956799&amp;hash=-5607618845466801778&amp;pagefilter=2" TargetMode="External"/><Relationship Id="rId52" Type="http://schemas.openxmlformats.org/officeDocument/2006/relationships/hyperlink" Target="https://www.facebook.com/europeanparliament/videos/vb.178362315106/10156450332095107/?type=2&amp;theater" TargetMode="External"/><Relationship Id="rId60" Type="http://schemas.openxmlformats.org/officeDocument/2006/relationships/hyperlink" Target="https://www.facebook.com/europeanparliament/videos/vb.178362315106/10156459358485107/?type=2&amp;theater" TargetMode="External"/><Relationship Id="rId4" Type="http://schemas.openxmlformats.org/officeDocument/2006/relationships/hyperlink" Target="https://www.facebook.com/europeanparliament/videos/vb.178362315106/10156382155220107/?type=2&amp;theater" TargetMode="External"/><Relationship Id="rId9" Type="http://schemas.openxmlformats.org/officeDocument/2006/relationships/hyperlink" Target="https://www.facebook.com/europeanparliament/photos/a.188069385106.246713.178362315106/10156390506425107/?type=3&amp;theater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europeanparliament/videos/vb.178362315106/10156486754035107/?type=2&amp;theater" TargetMode="External"/><Relationship Id="rId21" Type="http://schemas.openxmlformats.org/officeDocument/2006/relationships/hyperlink" Target="https://www.facebook.com/europeanparliament/photos/a.188069385106.246713.178362315106/10156471564105107/?type=3&amp;theater" TargetMode="External"/><Relationship Id="rId42" Type="http://schemas.openxmlformats.org/officeDocument/2006/relationships/hyperlink" Target="https://www.facebook.com/europeanparliament/photos/a.188069385106.246713.178362315106/10156508223650107/?type=3&amp;theater" TargetMode="External"/><Relationship Id="rId47" Type="http://schemas.openxmlformats.org/officeDocument/2006/relationships/hyperlink" Target="https://www.facebook.com/notes/european-parliament/parliaments-facebook-followers-interview-ensaf-haidar-wife-of-2015-sakharov-laur/10153332322317852" TargetMode="External"/><Relationship Id="rId63" Type="http://schemas.openxmlformats.org/officeDocument/2006/relationships/hyperlink" Target="https://www.facebook.com/europeanparliament/videos/vb.178362315106/10156513390835107/?type=2&amp;theater" TargetMode="External"/><Relationship Id="rId68" Type="http://schemas.openxmlformats.org/officeDocument/2006/relationships/hyperlink" Target="https://www.facebook.com/europeanparliament/timeline/story?ut=43&amp;wstart=0&amp;wend=1454313599&amp;hash=-163644001458643919&amp;pagefilter=3" TargetMode="External"/><Relationship Id="rId2" Type="http://schemas.openxmlformats.org/officeDocument/2006/relationships/hyperlink" Target="https://www.facebook.com/europeanparliament/photos/a.188069385106.246713.178362315106/10156510288750107/?type=3&amp;theater" TargetMode="External"/><Relationship Id="rId16" Type="http://schemas.openxmlformats.org/officeDocument/2006/relationships/hyperlink" Target="https://www.facebook.com/europeanparliament/posts/10156480478525107" TargetMode="External"/><Relationship Id="rId29" Type="http://schemas.openxmlformats.org/officeDocument/2006/relationships/hyperlink" Target="https://www.facebook.com/europeanparliament/timeline/story?ut=43&amp;wstart=0&amp;wend=1451635199&amp;hash=2292433431889794443&amp;pagefilter=3" TargetMode="External"/><Relationship Id="rId11" Type="http://schemas.openxmlformats.org/officeDocument/2006/relationships/hyperlink" Target="https://www.facebook.com/europeanparliament/photos/a.188069385106.246713.178362315106/10156468607810107/?type=3&amp;theater" TargetMode="External"/><Relationship Id="rId24" Type="http://schemas.openxmlformats.org/officeDocument/2006/relationships/hyperlink" Target="https://www.facebook.com/europeanparliament/videos/vb.178362315106/10156479817400107/?type=2&amp;theater" TargetMode="External"/><Relationship Id="rId32" Type="http://schemas.openxmlformats.org/officeDocument/2006/relationships/hyperlink" Target="https://www.facebook.com/europeanparliament/photos/a.188069385106.246713.178362315106/10156491781020107/?type=3&amp;theater" TargetMode="External"/><Relationship Id="rId37" Type="http://schemas.openxmlformats.org/officeDocument/2006/relationships/hyperlink" Target="https://www.facebook.com/europeanparliament/videos/vb.178362315106/10156492227070107/?type=2&amp;theater" TargetMode="External"/><Relationship Id="rId40" Type="http://schemas.openxmlformats.org/officeDocument/2006/relationships/hyperlink" Target="https://www.facebook.com/europeanparliament/photos/a.188069385106.246713.178362315106/10156504442690107/?type=3&amp;theater" TargetMode="External"/><Relationship Id="rId45" Type="http://schemas.openxmlformats.org/officeDocument/2006/relationships/hyperlink" Target="https://www.facebook.com/europeanparliament/timeline/story?ut=43&amp;wstart=0&amp;wend=1451635199&amp;hash=-5115670027972807155&amp;pagefilter=3" TargetMode="External"/><Relationship Id="rId53" Type="http://schemas.openxmlformats.org/officeDocument/2006/relationships/hyperlink" Target="https://www.facebook.com/europeanparliament/photos/a.188069385106.246713.178362315106/10156510411265107/?type=3&amp;theater" TargetMode="External"/><Relationship Id="rId58" Type="http://schemas.openxmlformats.org/officeDocument/2006/relationships/hyperlink" Target="https://www.facebook.com/europeanparliament/photos/a.10151438051605107.835195.178362315106/10156534384120107/?type=3&amp;theater" TargetMode="External"/><Relationship Id="rId66" Type="http://schemas.openxmlformats.org/officeDocument/2006/relationships/hyperlink" Target="https://www.facebook.com/europeanparliament/posts/10156513644795107" TargetMode="External"/><Relationship Id="rId5" Type="http://schemas.openxmlformats.org/officeDocument/2006/relationships/hyperlink" Target="https://www.facebook.com/europeanparliament/timeline/story?ut=43&amp;wstart=0&amp;wend=1451635199&amp;hash=1151872429158952313&amp;pagefilter=3" TargetMode="External"/><Relationship Id="rId61" Type="http://schemas.openxmlformats.org/officeDocument/2006/relationships/hyperlink" Target="https://www.facebook.com/europeanparliament/videos/vb.178362315106/10156543593600107/?type=2&amp;theater" TargetMode="External"/><Relationship Id="rId19" Type="http://schemas.openxmlformats.org/officeDocument/2006/relationships/hyperlink" Target="https://www.facebook.com/europeanparliament/photos/a.188069385106.246713.178362315106/10156467777970107/?type=3&amp;theater" TargetMode="External"/><Relationship Id="rId14" Type="http://schemas.openxmlformats.org/officeDocument/2006/relationships/hyperlink" Target="https://www.facebook.com/europeanparliament/photos/a.188069385106.246713.178362315106/10156470877475107/?type=3&amp;theater" TargetMode="External"/><Relationship Id="rId22" Type="http://schemas.openxmlformats.org/officeDocument/2006/relationships/hyperlink" Target="https://www.facebook.com/europeanparliament/videos/vb.178362315106/10156470781985107/?type=2&amp;theater" TargetMode="External"/><Relationship Id="rId27" Type="http://schemas.openxmlformats.org/officeDocument/2006/relationships/hyperlink" Target="https://www.facebook.com/europeanparliament/photos/a.188069385106.246713.178362315106/10156482486480107/?type=3&amp;theater" TargetMode="External"/><Relationship Id="rId30" Type="http://schemas.openxmlformats.org/officeDocument/2006/relationships/hyperlink" Target="https://www.facebook.com/europeanparliament/photos/a.188069385106.246713.178362315106/10156486008515107/?type=3&amp;theater" TargetMode="External"/><Relationship Id="rId35" Type="http://schemas.openxmlformats.org/officeDocument/2006/relationships/hyperlink" Target="https://www.facebook.com/europeanparliament/photos/a.188069385106.246713.178362315106/10156491724885107/?type=3&amp;theater" TargetMode="External"/><Relationship Id="rId43" Type="http://schemas.openxmlformats.org/officeDocument/2006/relationships/hyperlink" Target="https://www.facebook.com/europeanparliament/photos/a.188069385106.246713.178362315106/10156507273945107/?type=3&amp;theater" TargetMode="External"/><Relationship Id="rId48" Type="http://schemas.openxmlformats.org/officeDocument/2006/relationships/hyperlink" Target="https://www.facebook.com/europeanparliament/photos/a.188069385106.246713.178362315106/10156510292825107/?type=3&amp;theater" TargetMode="External"/><Relationship Id="rId56" Type="http://schemas.openxmlformats.org/officeDocument/2006/relationships/hyperlink" Target="https://www.facebook.com/europeanparliament/photos/a.188069385106.246713.178362315106/10156488726495107/?type=3&amp;theater" TargetMode="External"/><Relationship Id="rId64" Type="http://schemas.openxmlformats.org/officeDocument/2006/relationships/hyperlink" Target="https://www.facebook.com/europeanparliament/videos/vb.178362315106/10156510214310107/?type=2&amp;theater" TargetMode="External"/><Relationship Id="rId69" Type="http://schemas.openxmlformats.org/officeDocument/2006/relationships/hyperlink" Target="https://www.facebook.com/europeanparliament/photos/a.188069385106.246713.178362315106/10156510419960107/?type=3&amp;theater" TargetMode="External"/><Relationship Id="rId8" Type="http://schemas.openxmlformats.org/officeDocument/2006/relationships/hyperlink" Target="https://www.facebook.com/europeanparliament/photos/a.188069385106.246713.178362315106/10156462489920107/?type=3&amp;theater" TargetMode="External"/><Relationship Id="rId51" Type="http://schemas.openxmlformats.org/officeDocument/2006/relationships/hyperlink" Target="https://www.facebook.com/europeanparliament/posts/10156525226475107" TargetMode="External"/><Relationship Id="rId72" Type="http://schemas.openxmlformats.org/officeDocument/2006/relationships/table" Target="../tables/table3.xml"/><Relationship Id="rId3" Type="http://schemas.openxmlformats.org/officeDocument/2006/relationships/hyperlink" Target="https://www.facebook.com/europeanparliament/photos/a.188069385106.246713.178362315106/10156462145040107/?type=3&amp;theater" TargetMode="External"/><Relationship Id="rId12" Type="http://schemas.openxmlformats.org/officeDocument/2006/relationships/hyperlink" Target="https://www.facebook.com/europeanparliament/photos/a.188069385106.246713.178362315106/10156468326325107/?type=3&amp;theater" TargetMode="External"/><Relationship Id="rId17" Type="http://schemas.openxmlformats.org/officeDocument/2006/relationships/hyperlink" Target="https://www.facebook.com/europeanparliament/videos/vb.178362315106/10156483180415107/?type=2&amp;theater" TargetMode="External"/><Relationship Id="rId25" Type="http://schemas.openxmlformats.org/officeDocument/2006/relationships/hyperlink" Target="https://www.facebook.com/europeanparliament/timeline/story?ut=43&amp;wstart=0&amp;wend=1451635199&amp;hash=7041740906730610853&amp;pagefilter=3" TargetMode="External"/><Relationship Id="rId33" Type="http://schemas.openxmlformats.org/officeDocument/2006/relationships/hyperlink" Target="https://www.facebook.com/europeanparliament/photos/a.188069385106.246713.178362315106/10156494868995107/?type=3&amp;theater" TargetMode="External"/><Relationship Id="rId38" Type="http://schemas.openxmlformats.org/officeDocument/2006/relationships/hyperlink" Target="https://www.facebook.com/europeanparliament/photos/a.188069385106.246713.178362315106/10156502152780107/?type=3&amp;theater" TargetMode="External"/><Relationship Id="rId46" Type="http://schemas.openxmlformats.org/officeDocument/2006/relationships/hyperlink" Target="https://www.facebook.com/europeanparliament/videos/vb.178362315106/10156508211130107/?type=2&amp;theater" TargetMode="External"/><Relationship Id="rId59" Type="http://schemas.openxmlformats.org/officeDocument/2006/relationships/hyperlink" Target="https://www.facebook.com/europeanparliament/photos/a.188069385106.246713.178362315106/10156489081115107/?type=3&amp;theater" TargetMode="External"/><Relationship Id="rId67" Type="http://schemas.openxmlformats.org/officeDocument/2006/relationships/hyperlink" Target="https://www.facebook.com/europeanparliament/videos/vb.178362315106/10156514160580107/?type=2&amp;theater" TargetMode="External"/><Relationship Id="rId20" Type="http://schemas.openxmlformats.org/officeDocument/2006/relationships/hyperlink" Target="https://www.facebook.com/europeanparliament/photos/a.188069385106.246713.178362315106/10156467871740107/?type=3&amp;theater" TargetMode="External"/><Relationship Id="rId41" Type="http://schemas.openxmlformats.org/officeDocument/2006/relationships/hyperlink" Target="https://www.facebook.com/europeanparliament/photos/a.188069385106.246713.178362315106/10156507729425107/?type=3&amp;theater" TargetMode="External"/><Relationship Id="rId54" Type="http://schemas.openxmlformats.org/officeDocument/2006/relationships/hyperlink" Target="https://www.facebook.com/europeanparliament/posts/10156525224055107" TargetMode="External"/><Relationship Id="rId62" Type="http://schemas.openxmlformats.org/officeDocument/2006/relationships/hyperlink" Target="https://www.facebook.com/europeanparliament/photos/a.188069385106.246713.178362315106/10156504473855107/?type=3&amp;theater" TargetMode="External"/><Relationship Id="rId70" Type="http://schemas.openxmlformats.org/officeDocument/2006/relationships/hyperlink" Target="https://www.facebook.com/europeanparliament/photos/a.188069385106.246713.178362315106/10156510328930107/?type=3&amp;theater" TargetMode="External"/><Relationship Id="rId1" Type="http://schemas.openxmlformats.org/officeDocument/2006/relationships/hyperlink" Target="https://www.facebook.com/europeanparliament/photos/a.188069385106.246713.178362315106/10156513443295107/?type=3&amp;theater" TargetMode="External"/><Relationship Id="rId6" Type="http://schemas.openxmlformats.org/officeDocument/2006/relationships/hyperlink" Target="https://www.facebook.com/europeanparliament/posts/10156486289415107" TargetMode="External"/><Relationship Id="rId15" Type="http://schemas.openxmlformats.org/officeDocument/2006/relationships/hyperlink" Target="https://www.facebook.com/europeanparliament/photos/a.188069385106.246713.178362315106/10156470711980107/?type=3&amp;theater" TargetMode="External"/><Relationship Id="rId23" Type="http://schemas.openxmlformats.org/officeDocument/2006/relationships/hyperlink" Target="https://www.facebook.com/europeanparliament/photos/a.188069385106.246713.178362315106/10156479621185107/?type=3&amp;theater" TargetMode="External"/><Relationship Id="rId28" Type="http://schemas.openxmlformats.org/officeDocument/2006/relationships/hyperlink" Target="https://www.facebook.com/europeanparliament/posts/10156485723035107" TargetMode="External"/><Relationship Id="rId36" Type="http://schemas.openxmlformats.org/officeDocument/2006/relationships/hyperlink" Target="https://www.facebook.com/europeanparliament/photos/a.188069385106.246713.178362315106/10156501645820107/?type=3&amp;theater" TargetMode="External"/><Relationship Id="rId49" Type="http://schemas.openxmlformats.org/officeDocument/2006/relationships/hyperlink" Target="https://www.facebook.com/europeanparliament/posts/10156513637140107" TargetMode="External"/><Relationship Id="rId57" Type="http://schemas.openxmlformats.org/officeDocument/2006/relationships/hyperlink" Target="https://www.facebook.com/europeanparliament/photos/a.188069385106.246713.178362315106/10156525218270107/?type=3&amp;theater" TargetMode="External"/><Relationship Id="rId10" Type="http://schemas.openxmlformats.org/officeDocument/2006/relationships/hyperlink" Target="https://www.facebook.com/europeanparliament/photos/a.188069385106.246713.178362315106/10156465381845107/?type=3&amp;theater" TargetMode="External"/><Relationship Id="rId31" Type="http://schemas.openxmlformats.org/officeDocument/2006/relationships/hyperlink" Target="https://www.facebook.com/europeanparliament/photos/a.188069385106.246713.178362315106/10156491360830107/?type=3&amp;theater" TargetMode="External"/><Relationship Id="rId44" Type="http://schemas.openxmlformats.org/officeDocument/2006/relationships/hyperlink" Target="https://www.facebook.com/europeanparliament/videos/vb.178362315106/10156507603565107/?type=2&amp;theater" TargetMode="External"/><Relationship Id="rId52" Type="http://schemas.openxmlformats.org/officeDocument/2006/relationships/hyperlink" Target="https://www.facebook.com/europeanparliament/photos/a.188069385106.246713.178362315106/10156505171060107/?type=3&amp;theater" TargetMode="External"/><Relationship Id="rId60" Type="http://schemas.openxmlformats.org/officeDocument/2006/relationships/hyperlink" Target="https://www.facebook.com/notes/european-parliament/xmas-challenge-with-martin-schulz/10153333602452852" TargetMode="External"/><Relationship Id="rId65" Type="http://schemas.openxmlformats.org/officeDocument/2006/relationships/hyperlink" Target="https://www.facebook.com/europeanparliament/photos/a.188069385106.246713.178362315106/10156553459140107/?type=3&amp;theater" TargetMode="External"/><Relationship Id="rId73" Type="http://schemas.openxmlformats.org/officeDocument/2006/relationships/table" Target="../tables/table4.xml"/><Relationship Id="rId4" Type="http://schemas.openxmlformats.org/officeDocument/2006/relationships/hyperlink" Target="https://www.facebook.com/europeanparliament/photos/a.188069385106.246713.178362315106/10156460038220107/?type=3&amp;theater" TargetMode="External"/><Relationship Id="rId9" Type="http://schemas.openxmlformats.org/officeDocument/2006/relationships/hyperlink" Target="https://www.facebook.com/europeanparliament/photos/a.188069385106.246713.178362315106/10156465157785107/?type=3&amp;theater" TargetMode="External"/><Relationship Id="rId13" Type="http://schemas.openxmlformats.org/officeDocument/2006/relationships/hyperlink" Target="https://www.facebook.com/europeanparliament/posts/10156462090610107" TargetMode="External"/><Relationship Id="rId18" Type="http://schemas.openxmlformats.org/officeDocument/2006/relationships/hyperlink" Target="https://www.facebook.com/europeanparliament/photos/a.188069385106.246713.178362315106/10156465506880107/?type=3&amp;theater" TargetMode="External"/><Relationship Id="rId39" Type="http://schemas.openxmlformats.org/officeDocument/2006/relationships/hyperlink" Target="https://www.facebook.com/europeanparliament/videos/vb.178362315106/10156504965830107/?type=2&amp;theater" TargetMode="External"/><Relationship Id="rId34" Type="http://schemas.openxmlformats.org/officeDocument/2006/relationships/hyperlink" Target="https://www.facebook.com/europeanparliament/videos/vb.178362315106/10156495123965107/?type=2&amp;theater" TargetMode="External"/><Relationship Id="rId50" Type="http://schemas.openxmlformats.org/officeDocument/2006/relationships/hyperlink" Target="https://www.facebook.com/europeanparliament/photos/a.188069385106.246713.178362315106/10156510451180107/?type=3&amp;theater" TargetMode="External"/><Relationship Id="rId55" Type="http://schemas.openxmlformats.org/officeDocument/2006/relationships/hyperlink" Target="https://www.facebook.com/europeanparliament/videos/vb.178362315106/10156510325315107/?type=2&amp;theater" TargetMode="External"/><Relationship Id="rId7" Type="http://schemas.openxmlformats.org/officeDocument/2006/relationships/hyperlink" Target="https://www.facebook.com/europeanparliament/photos/a.188069385106.246713.178362315106/10156492239260107/?type=3&amp;theater" TargetMode="External"/><Relationship Id="rId7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europeanparliament/photos/a.188069385106.246713.178362315106/10156583100315107/?type=3&amp;theater" TargetMode="External"/><Relationship Id="rId18" Type="http://schemas.openxmlformats.org/officeDocument/2006/relationships/hyperlink" Target="https://www.facebook.com/europeanparliament/videos/vb.178362315106/10156586492140107/?type=2&amp;theater" TargetMode="External"/><Relationship Id="rId26" Type="http://schemas.openxmlformats.org/officeDocument/2006/relationships/hyperlink" Target="https://www.facebook.com/europeanparliament/posts/10156613653230107" TargetMode="External"/><Relationship Id="rId39" Type="http://schemas.openxmlformats.org/officeDocument/2006/relationships/hyperlink" Target="https://www.facebook.com/europeanparliament/videos/vb.178362315106/10156631258315107/?type=2&amp;theater" TargetMode="External"/><Relationship Id="rId21" Type="http://schemas.openxmlformats.org/officeDocument/2006/relationships/hyperlink" Target="https://www.facebook.com/europeanparliament/posts/10156601567860107" TargetMode="External"/><Relationship Id="rId34" Type="http://schemas.openxmlformats.org/officeDocument/2006/relationships/hyperlink" Target="https://www.facebook.com/europeanparliament/videos/vb.178362315106/10156628296515107/?type=2&amp;theater" TargetMode="External"/><Relationship Id="rId42" Type="http://schemas.openxmlformats.org/officeDocument/2006/relationships/hyperlink" Target="https://www.facebook.com/europeanparliament/videos/vb.178362315106/10156636609080107/?type=2&amp;theater" TargetMode="External"/><Relationship Id="rId47" Type="http://schemas.openxmlformats.org/officeDocument/2006/relationships/hyperlink" Target="https://www.facebook.com/europeanparliament/videos/vb.178362315106/10156648951695107/?type=2&amp;theater" TargetMode="External"/><Relationship Id="rId50" Type="http://schemas.openxmlformats.org/officeDocument/2006/relationships/hyperlink" Target="https://www.facebook.com/europeanparliament/posts/10156653374725107" TargetMode="External"/><Relationship Id="rId55" Type="http://schemas.openxmlformats.org/officeDocument/2006/relationships/hyperlink" Target="https://www.facebook.com/notes/european-parliament/parliament-and-languages/10153416765637852" TargetMode="External"/><Relationship Id="rId7" Type="http://schemas.openxmlformats.org/officeDocument/2006/relationships/hyperlink" Target="https://www.facebook.com/europeanparliament/photos/a.188069385106.246713.178362315106/10156525230190107/?type=3&amp;theater" TargetMode="External"/><Relationship Id="rId2" Type="http://schemas.openxmlformats.org/officeDocument/2006/relationships/hyperlink" Target="https://www.facebook.com/europeanparliament/posts/10156631302345107" TargetMode="External"/><Relationship Id="rId16" Type="http://schemas.openxmlformats.org/officeDocument/2006/relationships/hyperlink" Target="https://www.facebook.com/europeanparliament/photos/a.188069385106.246713.178362315106/10156582676620107/?type=3&amp;theater" TargetMode="External"/><Relationship Id="rId29" Type="http://schemas.openxmlformats.org/officeDocument/2006/relationships/hyperlink" Target="https://www.facebook.com/europeanparliament/photos/a.188069385106.246713.178362315106/10156612902930107/?type=3&amp;theater" TargetMode="External"/><Relationship Id="rId11" Type="http://schemas.openxmlformats.org/officeDocument/2006/relationships/hyperlink" Target="https://www.facebook.com/europeanparliament/photos/a.188069385106.246713.178362315106/10156576456310107/?type=3&amp;theater" TargetMode="External"/><Relationship Id="rId24" Type="http://schemas.openxmlformats.org/officeDocument/2006/relationships/hyperlink" Target="https://www.facebook.com/europeanparliament/photos/a.188069385106.246713.178362315106/10156610459665107/?type=3&amp;theater" TargetMode="External"/><Relationship Id="rId32" Type="http://schemas.openxmlformats.org/officeDocument/2006/relationships/hyperlink" Target="https://www.facebook.com/europeanparliament/photos/a.188069385106.246713.178362315106/10156623901610107/?type=3&amp;theater" TargetMode="External"/><Relationship Id="rId37" Type="http://schemas.openxmlformats.org/officeDocument/2006/relationships/hyperlink" Target="https://www.facebook.com/europeanparliament/photos/a.188069385106.246713.178362315106/10156633395120107/?type=3&amp;theater" TargetMode="External"/><Relationship Id="rId40" Type="http://schemas.openxmlformats.org/officeDocument/2006/relationships/hyperlink" Target="https://www.facebook.com/europeanparliament/posts/10156636424750107" TargetMode="External"/><Relationship Id="rId45" Type="http://schemas.openxmlformats.org/officeDocument/2006/relationships/hyperlink" Target="https://www.facebook.com/europeanparliament/photos/a.188069385106.246713.178362315106/10156636705025107/?type=3&amp;theater" TargetMode="External"/><Relationship Id="rId53" Type="http://schemas.openxmlformats.org/officeDocument/2006/relationships/hyperlink" Target="https://www.facebook.com/europeanparliament/posts/10156659322395107" TargetMode="External"/><Relationship Id="rId58" Type="http://schemas.openxmlformats.org/officeDocument/2006/relationships/hyperlink" Target="https://www.facebook.com/europeanparliament/photos/a.188069385106.246713.178362315106/10156660219135107/?type=3&amp;theater" TargetMode="External"/><Relationship Id="rId5" Type="http://schemas.openxmlformats.org/officeDocument/2006/relationships/hyperlink" Target="https://www.facebook.com/europeanparliament/photos/a.188069385106.246713.178362315106/10156492166805107/?type=3&amp;theater" TargetMode="External"/><Relationship Id="rId61" Type="http://schemas.openxmlformats.org/officeDocument/2006/relationships/table" Target="../tables/table5.xml"/><Relationship Id="rId19" Type="http://schemas.openxmlformats.org/officeDocument/2006/relationships/hyperlink" Target="https://www.facebook.com/europeanparliament/posts/10156598230755107" TargetMode="External"/><Relationship Id="rId14" Type="http://schemas.openxmlformats.org/officeDocument/2006/relationships/hyperlink" Target="https://www.facebook.com/europeanparliament/photos/a.10150275789685107.540980.178362315106/10156586385760107/?type=3&amp;theater" TargetMode="External"/><Relationship Id="rId22" Type="http://schemas.openxmlformats.org/officeDocument/2006/relationships/hyperlink" Target="https://www.facebook.com/europeanparliament/posts/10156602421475107" TargetMode="External"/><Relationship Id="rId27" Type="http://schemas.openxmlformats.org/officeDocument/2006/relationships/hyperlink" Target="https://www.facebook.com/media/set/?set=a.10156558783890107.1073741952.178362315106&amp;type=3" TargetMode="External"/><Relationship Id="rId30" Type="http://schemas.openxmlformats.org/officeDocument/2006/relationships/hyperlink" Target="https://www.facebook.com/europeanparliament/photos/a.188069385106.246713.178362315106/10156613607260107/?type=3&amp;theater" TargetMode="External"/><Relationship Id="rId35" Type="http://schemas.openxmlformats.org/officeDocument/2006/relationships/hyperlink" Target="https://www.facebook.com/europeanparliament/photos/a.188069385106.246713.178362315106/10156630219715107/?type=3&amp;theater" TargetMode="External"/><Relationship Id="rId43" Type="http://schemas.openxmlformats.org/officeDocument/2006/relationships/hyperlink" Target="https://www.facebook.com/europeanparliament/posts/10156636658695107" TargetMode="External"/><Relationship Id="rId48" Type="http://schemas.openxmlformats.org/officeDocument/2006/relationships/hyperlink" Target="https://www.facebook.com/europeanparliament/photos/a.188069385106.246713.178362315106/10156649679115107/?type=3&amp;theater" TargetMode="External"/><Relationship Id="rId56" Type="http://schemas.openxmlformats.org/officeDocument/2006/relationships/hyperlink" Target="https://www.facebook.com/europeanparliament/videos/vb.178362315106/10156660226830107/?type=2&amp;theater" TargetMode="External"/><Relationship Id="rId8" Type="http://schemas.openxmlformats.org/officeDocument/2006/relationships/hyperlink" Target="https://www.facebook.com/europeanparliament/photos/a.10151438051605107.835195.178362315106/10156513432820107/?type=3&amp;theater" TargetMode="External"/><Relationship Id="rId51" Type="http://schemas.openxmlformats.org/officeDocument/2006/relationships/hyperlink" Target="https://www.facebook.com/europeanparliament/posts/10156655960855107" TargetMode="External"/><Relationship Id="rId3" Type="http://schemas.openxmlformats.org/officeDocument/2006/relationships/hyperlink" Target="https://www.facebook.com/europeanparliament/posts/10156588689395107" TargetMode="External"/><Relationship Id="rId12" Type="http://schemas.openxmlformats.org/officeDocument/2006/relationships/hyperlink" Target="https://www.facebook.com/europeanparliament/photos/a.188069385106.246713.178362315106/10156582552590107/?type=3&amp;theater" TargetMode="External"/><Relationship Id="rId17" Type="http://schemas.openxmlformats.org/officeDocument/2006/relationships/hyperlink" Target="https://www.facebook.com/europeanparliament/videos/vb.178362315106/10156583246105107/?type=2&amp;theater" TargetMode="External"/><Relationship Id="rId25" Type="http://schemas.openxmlformats.org/officeDocument/2006/relationships/hyperlink" Target="https://www.facebook.com/europeanparliament/photos/a.188069385106.246713.178362315106/10156610546385107/?type=3&amp;theater" TargetMode="External"/><Relationship Id="rId33" Type="http://schemas.openxmlformats.org/officeDocument/2006/relationships/hyperlink" Target="https://www.facebook.com/europeanparliament/photos/a.188069385106.246713.178362315106/10156626811585107/?type=3&amp;theater" TargetMode="External"/><Relationship Id="rId38" Type="http://schemas.openxmlformats.org/officeDocument/2006/relationships/hyperlink" Target="https://www.facebook.com/europeanparliament/videos/vb.178362315106/10156633448240107/?type=2&amp;theater" TargetMode="External"/><Relationship Id="rId46" Type="http://schemas.openxmlformats.org/officeDocument/2006/relationships/hyperlink" Target="https://www.facebook.com/europeanparliament/photos/a.188069385106.246713.178362315106/10156646687280107/?type=3&amp;theater" TargetMode="External"/><Relationship Id="rId59" Type="http://schemas.openxmlformats.org/officeDocument/2006/relationships/hyperlink" Target="https://www.facebook.com/europeanparliament/photos/a.188069385106.246713.178362315106/10156659515025107/?type=3&amp;theater" TargetMode="External"/><Relationship Id="rId20" Type="http://schemas.openxmlformats.org/officeDocument/2006/relationships/hyperlink" Target="https://www.facebook.com/europeanparliament/photos/a.188069385106.246713.178362315106/10156598838035107/?type=3&amp;theater" TargetMode="External"/><Relationship Id="rId41" Type="http://schemas.openxmlformats.org/officeDocument/2006/relationships/hyperlink" Target="https://www.facebook.com/europeanparliament/posts/10156636438620107" TargetMode="External"/><Relationship Id="rId54" Type="http://schemas.openxmlformats.org/officeDocument/2006/relationships/hyperlink" Target="https://www.facebook.com/europeanparliament/posts/10156659230220107" TargetMode="External"/><Relationship Id="rId62" Type="http://schemas.openxmlformats.org/officeDocument/2006/relationships/table" Target="../tables/table6.xml"/><Relationship Id="rId1" Type="http://schemas.openxmlformats.org/officeDocument/2006/relationships/hyperlink" Target="https://www.facebook.com/europeanparliament/photos/a.188069385106.246713.178362315106/10156636841650107/?type=3&amp;theater" TargetMode="External"/><Relationship Id="rId6" Type="http://schemas.openxmlformats.org/officeDocument/2006/relationships/hyperlink" Target="https://www.facebook.com/europeanparliament/photos/a.188069385106.246713.178362315106/10156513455030107/?type=3&amp;theater" TargetMode="External"/><Relationship Id="rId15" Type="http://schemas.openxmlformats.org/officeDocument/2006/relationships/hyperlink" Target="https://www.facebook.com/europeanparliament/photos/a.188069385106.246713.178362315106/10156586321625107/?type=3&amp;theater" TargetMode="External"/><Relationship Id="rId23" Type="http://schemas.openxmlformats.org/officeDocument/2006/relationships/hyperlink" Target="https://www.facebook.com/europeanparliament/photos/a.188069385106.246713.178362315106/10156605959030107/?type=3&amp;theater" TargetMode="External"/><Relationship Id="rId28" Type="http://schemas.openxmlformats.org/officeDocument/2006/relationships/hyperlink" Target="https://www.facebook.com/europeanparliament/videos/vb.178362315106/10156613604445107/?type=2&amp;theater" TargetMode="External"/><Relationship Id="rId36" Type="http://schemas.openxmlformats.org/officeDocument/2006/relationships/hyperlink" Target="https://www.facebook.com/europeanparliament/photos/a.188069385106.246713.178362315106/10156630653125107/?type=3&amp;theater" TargetMode="External"/><Relationship Id="rId49" Type="http://schemas.openxmlformats.org/officeDocument/2006/relationships/hyperlink" Target="https://www.facebook.com/europeanparliament/posts/10156649920535107" TargetMode="External"/><Relationship Id="rId57" Type="http://schemas.openxmlformats.org/officeDocument/2006/relationships/hyperlink" Target="https://www.facebook.com/europeanparliament/videos/vb.178362315106/10156656373550107/?type=2&amp;theater" TargetMode="External"/><Relationship Id="rId10" Type="http://schemas.openxmlformats.org/officeDocument/2006/relationships/hyperlink" Target="https://www.facebook.com/europeanparliament/posts/10156579604350107" TargetMode="External"/><Relationship Id="rId31" Type="http://schemas.openxmlformats.org/officeDocument/2006/relationships/hyperlink" Target="https://www.facebook.com/europeanparliament/photos/a.188069385106.246713.178362315106/10156623944945107/?type=3&amp;theater" TargetMode="External"/><Relationship Id="rId44" Type="http://schemas.openxmlformats.org/officeDocument/2006/relationships/hyperlink" Target="https://www.facebook.com/europeanparliament/photos/a.188069385106.246713.178362315106/10156636605170107/?type=3&amp;theater" TargetMode="External"/><Relationship Id="rId52" Type="http://schemas.openxmlformats.org/officeDocument/2006/relationships/hyperlink" Target="https://www.facebook.com/europeanparliament/videos/vb.178362315106/10156656515515107/?type=2&amp;theater" TargetMode="External"/><Relationship Id="rId60" Type="http://schemas.openxmlformats.org/officeDocument/2006/relationships/printerSettings" Target="../printerSettings/printerSettings4.bin"/><Relationship Id="rId4" Type="http://schemas.openxmlformats.org/officeDocument/2006/relationships/hyperlink" Target="https://www.facebook.com/europeanparliament/photos/a.188069385106.246713.178362315106/10156626954845107/?type=3&amp;theater" TargetMode="External"/><Relationship Id="rId9" Type="http://schemas.openxmlformats.org/officeDocument/2006/relationships/hyperlink" Target="https://www.facebook.com/europeanparliament/photos/a.188069385106.246713.178362315106/10156576754345107/?type=3&amp;theater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europeanparliament/posts/10156673108875107" TargetMode="External"/><Relationship Id="rId18" Type="http://schemas.openxmlformats.org/officeDocument/2006/relationships/hyperlink" Target="https://www.facebook.com/europeanparliament/videos/vb.178362315106/10156679377415107/?type=2&amp;theater" TargetMode="External"/><Relationship Id="rId26" Type="http://schemas.openxmlformats.org/officeDocument/2006/relationships/hyperlink" Target="https://www.facebook.com/europeanparliament/photos/a.188069385106.246713.178362315106/10156700309030107/?type=3&amp;theater" TargetMode="External"/><Relationship Id="rId39" Type="http://schemas.openxmlformats.org/officeDocument/2006/relationships/hyperlink" Target="https://www.facebook.com/europeanparliament/photos/a.188069385106.246713.178362315106/10156731098760107/?type=3&amp;theater" TargetMode="External"/><Relationship Id="rId21" Type="http://schemas.openxmlformats.org/officeDocument/2006/relationships/hyperlink" Target="https://www.facebook.com/europeanparliament/photos/a.188069385106.246713.178362315106/10156682767230107/?type=3&amp;theater" TargetMode="External"/><Relationship Id="rId34" Type="http://schemas.openxmlformats.org/officeDocument/2006/relationships/hyperlink" Target="https://www.facebook.com/europeanparliament/photos/a.188069385106.246713.178362315106/10156720991720107/?type=3&amp;theater" TargetMode="External"/><Relationship Id="rId42" Type="http://schemas.openxmlformats.org/officeDocument/2006/relationships/hyperlink" Target="https://www.facebook.com/europeanparliament/posts/10156727972815107" TargetMode="External"/><Relationship Id="rId47" Type="http://schemas.openxmlformats.org/officeDocument/2006/relationships/hyperlink" Target="https://www.facebook.com/europeanparliament/photos/a.188069385106.246713.178362315106/10156746523810107/?type=3&amp;theater" TargetMode="External"/><Relationship Id="rId50" Type="http://schemas.openxmlformats.org/officeDocument/2006/relationships/hyperlink" Target="https://www.facebook.com/europeanparliament/videos/vb.178362315106/10156750153030107/?type=2&amp;theater" TargetMode="External"/><Relationship Id="rId55" Type="http://schemas.openxmlformats.org/officeDocument/2006/relationships/hyperlink" Target="https://www.facebook.com/europeanparliament/photos/a.188069385106.246713.178362315106/10156757878990107/?type=3&amp;theater" TargetMode="External"/><Relationship Id="rId63" Type="http://schemas.openxmlformats.org/officeDocument/2006/relationships/table" Target="../tables/table8.xml"/><Relationship Id="rId7" Type="http://schemas.openxmlformats.org/officeDocument/2006/relationships/hyperlink" Target="https://www.facebook.com/europeanparliament/videos/vb.178362315106/10156659330080107/?type=2&amp;theater" TargetMode="External"/><Relationship Id="rId2" Type="http://schemas.openxmlformats.org/officeDocument/2006/relationships/hyperlink" Target="https://www.facebook.com/europeanparliament/photos/a.188069385106.246713.178362315106/10156706205360107/?type=3&amp;theater" TargetMode="External"/><Relationship Id="rId16" Type="http://schemas.openxmlformats.org/officeDocument/2006/relationships/hyperlink" Target="https://www.facebook.com/europeanparliament/videos/vb.178362315106/10156680238225107/?type=2&amp;theater" TargetMode="External"/><Relationship Id="rId29" Type="http://schemas.openxmlformats.org/officeDocument/2006/relationships/hyperlink" Target="https://www.facebook.com/europeanparliament/photos/a.188069385106.246713.178362315106/10156706361820107/?type=3&amp;theater" TargetMode="External"/><Relationship Id="rId11" Type="http://schemas.openxmlformats.org/officeDocument/2006/relationships/hyperlink" Target="https://www.facebook.com/europeanparliament/photos/a.188069385106.246713.178362315106/10156673441255107/?type=3&amp;theater" TargetMode="External"/><Relationship Id="rId24" Type="http://schemas.openxmlformats.org/officeDocument/2006/relationships/hyperlink" Target="https://www.facebook.com/europeanparliament/photos/a.188069385106.246713.178362315106/10156693621245107/?type=3&amp;theater" TargetMode="External"/><Relationship Id="rId32" Type="http://schemas.openxmlformats.org/officeDocument/2006/relationships/hyperlink" Target="https://www.facebook.com/europeanparliament/photos/a.188069385106.246713.178362315106/10156716659095107/?type=3&amp;theater" TargetMode="External"/><Relationship Id="rId37" Type="http://schemas.openxmlformats.org/officeDocument/2006/relationships/hyperlink" Target="https://www.facebook.com/europeanparliament/videos/vb.178362315106/10156721049945107/?type=2&amp;theater" TargetMode="External"/><Relationship Id="rId40" Type="http://schemas.openxmlformats.org/officeDocument/2006/relationships/hyperlink" Target="https://www.facebook.com/europeanparliament/photos/a.188069385106.246713.178362315106/10156721120050107/?type=3&amp;theater" TargetMode="External"/><Relationship Id="rId45" Type="http://schemas.openxmlformats.org/officeDocument/2006/relationships/hyperlink" Target="https://www.facebook.com/europeanparliament/videos/vb.178362315106/10156746696880107/?type=2&amp;theater" TargetMode="External"/><Relationship Id="rId53" Type="http://schemas.openxmlformats.org/officeDocument/2006/relationships/hyperlink" Target="https://www.facebook.com/europeanparliament/photos/a.188069385106.246713.178362315106/10156754191400107/?type=3&amp;theater" TargetMode="External"/><Relationship Id="rId58" Type="http://schemas.openxmlformats.org/officeDocument/2006/relationships/hyperlink" Target="https://www.facebook.com/europeanparliament/posts/10156758068455107" TargetMode="External"/><Relationship Id="rId5" Type="http://schemas.openxmlformats.org/officeDocument/2006/relationships/hyperlink" Target="https://www.facebook.com/europeanparliament/photos/a.188069385106.246713.178362315106/10156693574175107/?type=3&amp;theater" TargetMode="External"/><Relationship Id="rId61" Type="http://schemas.openxmlformats.org/officeDocument/2006/relationships/printerSettings" Target="../printerSettings/printerSettings5.bin"/><Relationship Id="rId19" Type="http://schemas.openxmlformats.org/officeDocument/2006/relationships/hyperlink" Target="https://www.facebook.com/europeanparliament/photos/a.188069385106.246713.178362315106/10156682514315107/?type=3&amp;theater" TargetMode="External"/><Relationship Id="rId14" Type="http://schemas.openxmlformats.org/officeDocument/2006/relationships/hyperlink" Target="https://www.facebook.com/europeanparliament/photos/a.188069385106.246713.178362315106/10156673456575107/?type=3&amp;theater" TargetMode="External"/><Relationship Id="rId22" Type="http://schemas.openxmlformats.org/officeDocument/2006/relationships/hyperlink" Target="https://www.facebook.com/europeanparliament/posts/10156696759985107" TargetMode="External"/><Relationship Id="rId27" Type="http://schemas.openxmlformats.org/officeDocument/2006/relationships/hyperlink" Target="https://www.facebook.com/europeanparliament/photos/a.188069385106.246713.178362315106/10156703075500107/?type=3&amp;theater" TargetMode="External"/><Relationship Id="rId30" Type="http://schemas.openxmlformats.org/officeDocument/2006/relationships/hyperlink" Target="https://www.facebook.com/europeanparliament/videos/vb.178362315106/10156706286640107/?type=2&amp;theater" TargetMode="External"/><Relationship Id="rId35" Type="http://schemas.openxmlformats.org/officeDocument/2006/relationships/hyperlink" Target="https://www.facebook.com/europeanparliament/posts/10156724701110107" TargetMode="External"/><Relationship Id="rId43" Type="http://schemas.openxmlformats.org/officeDocument/2006/relationships/hyperlink" Target="https://www.facebook.com/europeanparliament/photos/a.188069385106.246713.178362315106/10156731474420107/?type=3&amp;theater" TargetMode="External"/><Relationship Id="rId48" Type="http://schemas.openxmlformats.org/officeDocument/2006/relationships/hyperlink" Target="https://www.facebook.com/europeanparliament/photos/a.188069385106.246713.178362315106/10156750324725107/?type=3&amp;theater" TargetMode="External"/><Relationship Id="rId56" Type="http://schemas.openxmlformats.org/officeDocument/2006/relationships/hyperlink" Target="https://www.facebook.com/europeanparliament/posts/10156751214505107" TargetMode="External"/><Relationship Id="rId8" Type="http://schemas.openxmlformats.org/officeDocument/2006/relationships/hyperlink" Target="https://www.facebook.com/europeanparliament/photos/a.188069385106.246713.178362315106/10156669390315107/?type=3&amp;theater" TargetMode="External"/><Relationship Id="rId51" Type="http://schemas.openxmlformats.org/officeDocument/2006/relationships/hyperlink" Target="https://www.facebook.com/europeanparliament/photos/a.188069385106.246713.178362315106/10156755142785107/?type=3&amp;theater" TargetMode="External"/><Relationship Id="rId3" Type="http://schemas.openxmlformats.org/officeDocument/2006/relationships/hyperlink" Target="https://www.facebook.com/europeanparliament/photos/a.188069385106.246713.178362315106/10156728350500107/?type=3&amp;theater" TargetMode="External"/><Relationship Id="rId12" Type="http://schemas.openxmlformats.org/officeDocument/2006/relationships/hyperlink" Target="https://www.facebook.com/europeanparliament/posts/10156670416200107" TargetMode="External"/><Relationship Id="rId17" Type="http://schemas.openxmlformats.org/officeDocument/2006/relationships/hyperlink" Target="https://www.facebook.com/europeanparliament/posts/10156676068675107" TargetMode="External"/><Relationship Id="rId25" Type="http://schemas.openxmlformats.org/officeDocument/2006/relationships/hyperlink" Target="https://www.facebook.com/europeanparliament/videos/vb.178362315106/10156699861530107/?type=2&amp;theater" TargetMode="External"/><Relationship Id="rId33" Type="http://schemas.openxmlformats.org/officeDocument/2006/relationships/hyperlink" Target="https://www.facebook.com/europeanparliament/posts/10156720437550107" TargetMode="External"/><Relationship Id="rId38" Type="http://schemas.openxmlformats.org/officeDocument/2006/relationships/hyperlink" Target="https://www.facebook.com/europeanparliament/videos/vb.178362315106/10156727484740107/?type=2&amp;theater" TargetMode="External"/><Relationship Id="rId46" Type="http://schemas.openxmlformats.org/officeDocument/2006/relationships/hyperlink" Target="https://www.facebook.com/europeanparliament/photos/a.188069385106.246713.178362315106/10156746731040107/?type=3&amp;theater" TargetMode="External"/><Relationship Id="rId59" Type="http://schemas.openxmlformats.org/officeDocument/2006/relationships/hyperlink" Target="https://www.facebook.com/europeanparliament/photos/a.188069385106.246713.178362315106/10156758069375107/?type=3&amp;theater" TargetMode="External"/><Relationship Id="rId20" Type="http://schemas.openxmlformats.org/officeDocument/2006/relationships/hyperlink" Target="https://www.facebook.com/europeanparliament/videos/vb.178362315106/10156682639620107/?type=2&amp;theater" TargetMode="External"/><Relationship Id="rId41" Type="http://schemas.openxmlformats.org/officeDocument/2006/relationships/hyperlink" Target="https://www.facebook.com/europeanparliament/photos/a.188069385106.246713.178362315106/10156728334240107/?type=3&amp;theater" TargetMode="External"/><Relationship Id="rId54" Type="http://schemas.openxmlformats.org/officeDocument/2006/relationships/hyperlink" Target="https://www.facebook.com/europeanparliament/videos/vb.178362315106/10156757964490107/?type=2&amp;theater" TargetMode="External"/><Relationship Id="rId62" Type="http://schemas.openxmlformats.org/officeDocument/2006/relationships/table" Target="../tables/table7.xml"/><Relationship Id="rId1" Type="http://schemas.openxmlformats.org/officeDocument/2006/relationships/hyperlink" Target="https://www.facebook.com/europeanparliament/videos/vb.178362315106/10156682519370107/?type=2&amp;theater" TargetMode="External"/><Relationship Id="rId6" Type="http://schemas.openxmlformats.org/officeDocument/2006/relationships/hyperlink" Target="https://www.facebook.com/europeanparliament/videos/vb.178362315106/10156743461490107/?type=2&amp;theater" TargetMode="External"/><Relationship Id="rId15" Type="http://schemas.openxmlformats.org/officeDocument/2006/relationships/hyperlink" Target="https://www.facebook.com/europeanparliament/posts/10156676049475107" TargetMode="External"/><Relationship Id="rId23" Type="http://schemas.openxmlformats.org/officeDocument/2006/relationships/hyperlink" Target="https://www.facebook.com/europeanparliament/videos/vb.178362315106/10156696302350107/?type=2&amp;theater" TargetMode="External"/><Relationship Id="rId28" Type="http://schemas.openxmlformats.org/officeDocument/2006/relationships/hyperlink" Target="https://www.facebook.com/europeanparliament/photos/a.188069385106.246713.178362315106/10156706313455107/?type=3&amp;theater" TargetMode="External"/><Relationship Id="rId36" Type="http://schemas.openxmlformats.org/officeDocument/2006/relationships/hyperlink" Target="https://www.facebook.com/europeanparliament/videos/vb.178362315106/10156724394470107/?type=2&amp;theater" TargetMode="External"/><Relationship Id="rId49" Type="http://schemas.openxmlformats.org/officeDocument/2006/relationships/hyperlink" Target="https://www.facebook.com/europeanparliament/videos/vb.178362315106/10156751181215107/?type=2&amp;theater" TargetMode="External"/><Relationship Id="rId57" Type="http://schemas.openxmlformats.org/officeDocument/2006/relationships/hyperlink" Target="https://www.facebook.com/europeanparliament/photos/a.188069385106.246713.178362315106/10156751258375107/?type=3&amp;theater" TargetMode="External"/><Relationship Id="rId10" Type="http://schemas.openxmlformats.org/officeDocument/2006/relationships/hyperlink" Target="https://www.facebook.com/europeanparliament/photos/a.188069385106.246713.178362315106/10156673577860107/?type=3&amp;theater" TargetMode="External"/><Relationship Id="rId31" Type="http://schemas.openxmlformats.org/officeDocument/2006/relationships/hyperlink" Target="https://www.facebook.com/europeanparliament/posts/10156712883945107" TargetMode="External"/><Relationship Id="rId44" Type="http://schemas.openxmlformats.org/officeDocument/2006/relationships/hyperlink" Target="https://www.facebook.com/europeanparliament/photos/a.188069385106.246713.178362315106/10156743642150107/?type=3&amp;theater" TargetMode="External"/><Relationship Id="rId52" Type="http://schemas.openxmlformats.org/officeDocument/2006/relationships/hyperlink" Target="https://www.facebook.com/europeanparliament/posts/10156754469680107" TargetMode="External"/><Relationship Id="rId60" Type="http://schemas.openxmlformats.org/officeDocument/2006/relationships/hyperlink" Target="https://www.facebook.com/europeanparliament/photos/a.188069385106.246713.178362315106/10156768840135107/?type=3&amp;theater" TargetMode="External"/><Relationship Id="rId4" Type="http://schemas.openxmlformats.org/officeDocument/2006/relationships/hyperlink" Target="https://www.facebook.com/notes/european-parliament/syrian-refugees-in-turkey-members-assess-the-situation-on-the-ground/10153447899262852" TargetMode="External"/><Relationship Id="rId9" Type="http://schemas.openxmlformats.org/officeDocument/2006/relationships/hyperlink" Target="https://www.facebook.com/europeanparliament/photos/a.188069385106.246713.178362315106/10156670120220107/?type=3&amp;theat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F40"/>
  <sheetViews>
    <sheetView showGridLines="0" view="pageBreakPreview" zoomScale="60" zoomScaleNormal="55" workbookViewId="0">
      <selection activeCell="J14" sqref="J14"/>
    </sheetView>
  </sheetViews>
  <sheetFormatPr defaultRowHeight="15" x14ac:dyDescent="0.25"/>
  <cols>
    <col min="2" max="2" width="35" bestFit="1" customWidth="1"/>
    <col min="3" max="4" width="65.85546875" customWidth="1"/>
    <col min="5" max="5" width="69.28515625" bestFit="1" customWidth="1"/>
  </cols>
  <sheetData>
    <row r="2" spans="1:6" ht="15.75" thickBot="1" x14ac:dyDescent="0.3">
      <c r="A2" s="167"/>
      <c r="B2" s="167"/>
      <c r="C2" s="167"/>
      <c r="D2" s="167"/>
      <c r="E2" s="167"/>
      <c r="F2" s="167"/>
    </row>
    <row r="3" spans="1:6" ht="62.25" thickBot="1" x14ac:dyDescent="0.3">
      <c r="A3" s="167"/>
      <c r="B3" s="378" t="s">
        <v>497</v>
      </c>
      <c r="C3" s="379"/>
      <c r="D3" s="379"/>
      <c r="E3" s="380"/>
      <c r="F3" s="167"/>
    </row>
    <row r="4" spans="1:6" s="93" customFormat="1" ht="62.25" thickBot="1" x14ac:dyDescent="0.3">
      <c r="A4" s="173"/>
      <c r="B4" s="174"/>
      <c r="C4" s="174"/>
      <c r="D4" s="174"/>
      <c r="E4" s="174"/>
      <c r="F4" s="173"/>
    </row>
    <row r="5" spans="1:6" s="10" customFormat="1" ht="28.5" x14ac:dyDescent="0.25">
      <c r="A5" s="169"/>
      <c r="B5" s="371" t="s">
        <v>489</v>
      </c>
      <c r="C5" s="372" t="s">
        <v>490</v>
      </c>
      <c r="D5" s="372" t="s">
        <v>491</v>
      </c>
      <c r="E5" s="373" t="s">
        <v>507</v>
      </c>
      <c r="F5" s="169"/>
    </row>
    <row r="6" spans="1:6" s="10" customFormat="1" ht="21" x14ac:dyDescent="0.25">
      <c r="A6" s="169"/>
      <c r="B6" s="367" t="s">
        <v>394</v>
      </c>
      <c r="C6" s="365" t="s">
        <v>492</v>
      </c>
      <c r="D6" s="366" t="s">
        <v>492</v>
      </c>
      <c r="E6" s="363" t="s">
        <v>508</v>
      </c>
    </row>
    <row r="7" spans="1:6" s="10" customFormat="1" ht="21" x14ac:dyDescent="0.25">
      <c r="A7" s="169"/>
      <c r="B7" s="367" t="s">
        <v>393</v>
      </c>
      <c r="C7" s="365" t="s">
        <v>493</v>
      </c>
      <c r="D7" s="366" t="s">
        <v>494</v>
      </c>
      <c r="E7" s="363"/>
    </row>
    <row r="8" spans="1:6" s="10" customFormat="1" ht="21" x14ac:dyDescent="0.25">
      <c r="A8" s="169"/>
      <c r="B8" s="367" t="s">
        <v>392</v>
      </c>
      <c r="C8" s="365" t="s">
        <v>494</v>
      </c>
      <c r="D8" s="366" t="s">
        <v>495</v>
      </c>
      <c r="E8" s="363"/>
    </row>
    <row r="9" spans="1:6" s="10" customFormat="1" ht="21" x14ac:dyDescent="0.25">
      <c r="A9" s="169"/>
      <c r="B9" s="367" t="s">
        <v>395</v>
      </c>
      <c r="C9" s="365" t="s">
        <v>495</v>
      </c>
      <c r="D9" s="366" t="s">
        <v>496</v>
      </c>
      <c r="E9" s="363"/>
    </row>
    <row r="10" spans="1:6" s="10" customFormat="1" ht="21.75" thickBot="1" x14ac:dyDescent="0.3">
      <c r="A10" s="169"/>
      <c r="B10" s="368" t="s">
        <v>332</v>
      </c>
      <c r="C10" s="369" t="s">
        <v>496</v>
      </c>
      <c r="D10" s="370" t="s">
        <v>332</v>
      </c>
      <c r="E10" s="364"/>
      <c r="F10" s="169"/>
    </row>
    <row r="11" spans="1:6" s="10" customFormat="1" ht="21" x14ac:dyDescent="0.25">
      <c r="A11" s="169"/>
      <c r="B11" s="171"/>
      <c r="C11" s="170"/>
      <c r="D11" s="169"/>
      <c r="E11" s="169"/>
      <c r="F11" s="169"/>
    </row>
    <row r="12" spans="1:6" s="10" customFormat="1" ht="21" x14ac:dyDescent="0.25">
      <c r="A12" s="169"/>
      <c r="B12" s="171"/>
      <c r="C12" s="170"/>
      <c r="D12" s="169"/>
      <c r="E12" s="169"/>
      <c r="F12" s="169"/>
    </row>
    <row r="13" spans="1:6" s="10" customFormat="1" ht="21" x14ac:dyDescent="0.25">
      <c r="A13" s="169"/>
      <c r="B13" s="171"/>
      <c r="C13" s="170"/>
      <c r="D13" s="169"/>
      <c r="E13" s="169"/>
      <c r="F13" s="169"/>
    </row>
    <row r="14" spans="1:6" s="10" customFormat="1" ht="21" x14ac:dyDescent="0.25">
      <c r="A14" s="169"/>
      <c r="B14" s="171"/>
      <c r="C14" s="169"/>
      <c r="D14" s="169"/>
      <c r="E14" s="169"/>
      <c r="F14" s="169"/>
    </row>
    <row r="15" spans="1:6" s="10" customFormat="1" x14ac:dyDescent="0.25">
      <c r="A15" s="169"/>
      <c r="B15" s="172"/>
      <c r="C15" s="169"/>
      <c r="D15" s="169"/>
      <c r="E15" s="169"/>
      <c r="F15" s="169"/>
    </row>
    <row r="16" spans="1:6" s="10" customFormat="1" x14ac:dyDescent="0.25">
      <c r="A16" s="169"/>
      <c r="B16" s="169"/>
      <c r="C16" s="169"/>
      <c r="D16" s="377"/>
      <c r="E16" s="169"/>
      <c r="F16" s="169"/>
    </row>
    <row r="17" spans="1:6" s="10" customFormat="1" x14ac:dyDescent="0.25">
      <c r="A17" s="169"/>
      <c r="B17" s="169"/>
      <c r="C17" s="169"/>
      <c r="D17" s="377"/>
      <c r="E17" s="169"/>
      <c r="F17" s="169"/>
    </row>
    <row r="18" spans="1:6" s="10" customFormat="1" x14ac:dyDescent="0.25">
      <c r="A18" s="169"/>
      <c r="B18" s="169"/>
      <c r="C18" s="169"/>
      <c r="D18" s="377"/>
      <c r="E18" s="169"/>
      <c r="F18" s="169"/>
    </row>
    <row r="19" spans="1:6" x14ac:dyDescent="0.25">
      <c r="A19" s="167"/>
      <c r="B19" s="167"/>
      <c r="C19" s="167"/>
      <c r="D19" s="377"/>
      <c r="E19" s="168"/>
      <c r="F19" s="167"/>
    </row>
    <row r="20" spans="1:6" x14ac:dyDescent="0.25">
      <c r="A20" s="167"/>
      <c r="B20" s="167"/>
      <c r="C20" s="167"/>
      <c r="D20" s="167"/>
      <c r="E20" s="168"/>
      <c r="F20" s="167"/>
    </row>
    <row r="21" spans="1:6" x14ac:dyDescent="0.25">
      <c r="A21" s="167"/>
      <c r="B21" s="167"/>
      <c r="C21" s="167"/>
      <c r="D21" s="167"/>
      <c r="E21" s="167"/>
      <c r="F21" s="167"/>
    </row>
    <row r="22" spans="1:6" x14ac:dyDescent="0.25">
      <c r="A22" s="167"/>
      <c r="B22" s="167"/>
      <c r="C22" s="167"/>
      <c r="D22" s="167"/>
      <c r="E22" s="167"/>
      <c r="F22" s="167"/>
    </row>
    <row r="23" spans="1:6" x14ac:dyDescent="0.25">
      <c r="A23" s="167"/>
      <c r="B23" s="167"/>
      <c r="C23" s="167"/>
      <c r="D23" s="167"/>
      <c r="E23" s="167"/>
      <c r="F23" s="167"/>
    </row>
    <row r="24" spans="1:6" x14ac:dyDescent="0.25">
      <c r="A24" s="167"/>
      <c r="B24" s="167"/>
      <c r="C24" s="167"/>
      <c r="D24" s="167"/>
      <c r="E24" s="167"/>
      <c r="F24" s="167"/>
    </row>
    <row r="25" spans="1:6" x14ac:dyDescent="0.25">
      <c r="A25" s="167"/>
      <c r="B25" s="167"/>
      <c r="C25" s="167"/>
      <c r="D25" s="167"/>
      <c r="E25" s="167"/>
      <c r="F25" s="167"/>
    </row>
    <row r="26" spans="1:6" x14ac:dyDescent="0.25">
      <c r="A26" s="167"/>
      <c r="B26" s="167"/>
      <c r="C26" s="167"/>
      <c r="D26" s="167"/>
      <c r="E26" s="167"/>
      <c r="F26" s="167"/>
    </row>
    <row r="27" spans="1:6" x14ac:dyDescent="0.25">
      <c r="A27" s="167"/>
      <c r="B27" s="167"/>
      <c r="C27" s="167"/>
      <c r="D27" s="167"/>
      <c r="E27" s="167"/>
      <c r="F27" s="167"/>
    </row>
    <row r="28" spans="1:6" x14ac:dyDescent="0.25">
      <c r="A28" s="167"/>
      <c r="B28" s="167"/>
      <c r="C28" s="167"/>
      <c r="D28" s="167"/>
      <c r="E28" s="167"/>
      <c r="F28" s="167"/>
    </row>
    <row r="29" spans="1:6" x14ac:dyDescent="0.25">
      <c r="A29" s="167"/>
      <c r="B29" s="167"/>
      <c r="C29" s="167"/>
      <c r="D29" s="167"/>
      <c r="E29" s="167"/>
      <c r="F29" s="167"/>
    </row>
    <row r="30" spans="1:6" x14ac:dyDescent="0.25">
      <c r="A30" s="167"/>
      <c r="B30" s="167"/>
      <c r="C30" s="167"/>
      <c r="D30" s="167"/>
      <c r="E30" s="167"/>
      <c r="F30" s="167"/>
    </row>
    <row r="31" spans="1:6" x14ac:dyDescent="0.25">
      <c r="A31" s="167"/>
      <c r="B31" s="167"/>
      <c r="C31" s="167"/>
      <c r="D31" s="167"/>
      <c r="E31" s="167"/>
      <c r="F31" s="167"/>
    </row>
    <row r="32" spans="1:6" x14ac:dyDescent="0.25">
      <c r="A32" s="167"/>
      <c r="B32" s="167"/>
      <c r="C32" s="167"/>
      <c r="D32" s="167"/>
      <c r="E32" s="167"/>
      <c r="F32" s="167"/>
    </row>
    <row r="33" spans="1:6" x14ac:dyDescent="0.25">
      <c r="A33" s="167"/>
      <c r="B33" s="167"/>
      <c r="C33" s="167"/>
      <c r="D33" s="167"/>
      <c r="E33" s="167"/>
      <c r="F33" s="167"/>
    </row>
    <row r="34" spans="1:6" x14ac:dyDescent="0.25">
      <c r="A34" s="167"/>
      <c r="B34" s="167"/>
      <c r="C34" s="167"/>
      <c r="D34" s="167"/>
      <c r="E34" s="167"/>
      <c r="F34" s="167"/>
    </row>
    <row r="35" spans="1:6" x14ac:dyDescent="0.25">
      <c r="A35" s="167"/>
      <c r="B35" s="167"/>
      <c r="C35" s="167"/>
      <c r="D35" s="167"/>
      <c r="E35" s="167"/>
      <c r="F35" s="167"/>
    </row>
    <row r="36" spans="1:6" x14ac:dyDescent="0.25">
      <c r="A36" s="167"/>
      <c r="B36" s="167"/>
      <c r="C36" s="167"/>
      <c r="D36" s="167"/>
      <c r="E36" s="167"/>
      <c r="F36" s="167"/>
    </row>
    <row r="37" spans="1:6" x14ac:dyDescent="0.25">
      <c r="A37" s="167"/>
      <c r="B37" s="167"/>
      <c r="C37" s="167"/>
      <c r="D37" s="167"/>
      <c r="E37" s="167"/>
      <c r="F37" s="167"/>
    </row>
    <row r="38" spans="1:6" x14ac:dyDescent="0.25">
      <c r="A38" s="167"/>
      <c r="B38" s="167"/>
      <c r="C38" s="167"/>
      <c r="D38" s="167"/>
      <c r="E38" s="167"/>
      <c r="F38" s="167"/>
    </row>
    <row r="39" spans="1:6" x14ac:dyDescent="0.25">
      <c r="A39" s="167"/>
      <c r="B39" s="167"/>
      <c r="C39" s="167"/>
      <c r="D39" s="167"/>
      <c r="E39" s="167"/>
      <c r="F39" s="167"/>
    </row>
    <row r="40" spans="1:6" x14ac:dyDescent="0.25">
      <c r="A40" s="167"/>
      <c r="B40" s="167"/>
      <c r="C40" s="167"/>
      <c r="E40" s="167"/>
      <c r="F40" s="167"/>
    </row>
  </sheetData>
  <mergeCells count="2">
    <mergeCell ref="D16:D19"/>
    <mergeCell ref="B3:E3"/>
  </mergeCells>
  <pageMargins left="0.7" right="0.7" top="0.75" bottom="0.75" header="0.3" footer="0.3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C1:X19"/>
  <sheetViews>
    <sheetView showGridLines="0" zoomScale="55" zoomScaleNormal="55" workbookViewId="0">
      <selection activeCell="F30" sqref="F30"/>
    </sheetView>
  </sheetViews>
  <sheetFormatPr defaultRowHeight="15" x14ac:dyDescent="0.25"/>
  <cols>
    <col min="3" max="3" width="32.85546875" customWidth="1"/>
    <col min="4" max="4" width="16.42578125" customWidth="1"/>
    <col min="5" max="5" width="15.42578125" customWidth="1"/>
    <col min="6" max="6" width="9.42578125" bestFit="1" customWidth="1"/>
    <col min="7" max="7" width="12.28515625" bestFit="1" customWidth="1"/>
    <col min="8" max="8" width="14.5703125" customWidth="1"/>
    <col min="9" max="9" width="16.42578125" bestFit="1" customWidth="1"/>
    <col min="11" max="11" width="14.5703125" customWidth="1"/>
  </cols>
  <sheetData>
    <row r="1" spans="3:24" ht="15.75" thickBot="1" x14ac:dyDescent="0.3"/>
    <row r="2" spans="3:24" x14ac:dyDescent="0.25">
      <c r="C2" s="400" t="s">
        <v>502</v>
      </c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2"/>
    </row>
    <row r="3" spans="3:24" x14ac:dyDescent="0.25">
      <c r="C3" s="403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5"/>
    </row>
    <row r="4" spans="3:24" ht="15.75" thickBot="1" x14ac:dyDescent="0.3">
      <c r="C4" s="406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8"/>
    </row>
    <row r="5" spans="3:24" ht="15.75" thickBot="1" x14ac:dyDescent="0.3"/>
    <row r="6" spans="3:24" ht="27" thickBot="1" x14ac:dyDescent="0.45">
      <c r="C6" s="394" t="s">
        <v>397</v>
      </c>
      <c r="D6" s="395"/>
      <c r="E6" s="395"/>
      <c r="F6" s="395"/>
      <c r="G6" s="395"/>
      <c r="H6" s="395"/>
      <c r="I6" s="396"/>
    </row>
    <row r="7" spans="3:24" ht="21.75" thickBot="1" x14ac:dyDescent="0.4">
      <c r="C7" s="397" t="s">
        <v>432</v>
      </c>
      <c r="D7" s="398"/>
      <c r="E7" s="398"/>
      <c r="F7" s="398"/>
      <c r="G7" s="398"/>
      <c r="H7" s="398"/>
      <c r="I7" s="399"/>
    </row>
    <row r="8" spans="3:24" ht="15.75" thickBot="1" x14ac:dyDescent="0.3"/>
    <row r="9" spans="3:24" ht="18.75" x14ac:dyDescent="0.25">
      <c r="C9" s="67"/>
      <c r="D9" s="393" t="s">
        <v>433</v>
      </c>
      <c r="E9" s="393"/>
      <c r="F9" s="393"/>
      <c r="G9" s="393"/>
      <c r="H9" s="113" t="s">
        <v>389</v>
      </c>
      <c r="I9" s="64" t="s">
        <v>428</v>
      </c>
    </row>
    <row r="10" spans="3:24" ht="18.75" x14ac:dyDescent="0.25">
      <c r="C10" s="70" t="s">
        <v>263</v>
      </c>
      <c r="D10" s="71" t="s">
        <v>400</v>
      </c>
      <c r="E10" s="71" t="s">
        <v>401</v>
      </c>
      <c r="F10" s="71" t="s">
        <v>402</v>
      </c>
      <c r="G10" s="71" t="s">
        <v>403</v>
      </c>
      <c r="H10" s="71" t="s">
        <v>404</v>
      </c>
      <c r="I10" s="72" t="s">
        <v>405</v>
      </c>
    </row>
    <row r="11" spans="3:24" x14ac:dyDescent="0.25">
      <c r="C11" s="82" t="s">
        <v>425</v>
      </c>
      <c r="D11" s="83">
        <v>26</v>
      </c>
      <c r="E11" s="83">
        <v>44</v>
      </c>
      <c r="F11" s="83">
        <v>33</v>
      </c>
      <c r="G11" s="84">
        <v>30</v>
      </c>
      <c r="H11" s="83">
        <v>133</v>
      </c>
      <c r="I11" s="75">
        <v>52.777777777777779</v>
      </c>
    </row>
    <row r="12" spans="3:24" x14ac:dyDescent="0.25">
      <c r="C12" s="26" t="s">
        <v>296</v>
      </c>
      <c r="D12" s="32">
        <v>28</v>
      </c>
      <c r="E12" s="32">
        <v>15</v>
      </c>
      <c r="F12" s="32">
        <v>11</v>
      </c>
      <c r="G12" s="32">
        <v>15</v>
      </c>
      <c r="H12" s="32">
        <v>69</v>
      </c>
      <c r="I12" s="69">
        <v>27.380952380952383</v>
      </c>
    </row>
    <row r="13" spans="3:24" x14ac:dyDescent="0.25">
      <c r="C13" s="85" t="s">
        <v>324</v>
      </c>
      <c r="D13" s="83">
        <v>0</v>
      </c>
      <c r="E13" s="83">
        <v>5</v>
      </c>
      <c r="F13" s="83">
        <v>9</v>
      </c>
      <c r="G13" s="83">
        <v>11</v>
      </c>
      <c r="H13" s="83">
        <v>25</v>
      </c>
      <c r="I13" s="75">
        <v>9.9206349206349209</v>
      </c>
    </row>
    <row r="14" spans="3:24" x14ac:dyDescent="0.25">
      <c r="C14" s="26" t="s">
        <v>424</v>
      </c>
      <c r="D14" s="32">
        <v>3</v>
      </c>
      <c r="E14" s="32">
        <v>4</v>
      </c>
      <c r="F14" s="32">
        <v>1</v>
      </c>
      <c r="G14" s="32">
        <v>0</v>
      </c>
      <c r="H14" s="32">
        <v>8</v>
      </c>
      <c r="I14" s="69">
        <v>3.1746031746031744</v>
      </c>
    </row>
    <row r="15" spans="3:24" x14ac:dyDescent="0.25">
      <c r="C15" s="85" t="s">
        <v>300</v>
      </c>
      <c r="D15" s="83">
        <v>3</v>
      </c>
      <c r="E15" s="83">
        <v>1</v>
      </c>
      <c r="F15" s="83">
        <v>1</v>
      </c>
      <c r="G15" s="83">
        <v>3</v>
      </c>
      <c r="H15" s="83">
        <v>8</v>
      </c>
      <c r="I15" s="75">
        <v>3.1746031746031744</v>
      </c>
    </row>
    <row r="16" spans="3:24" x14ac:dyDescent="0.25">
      <c r="C16" s="26" t="s">
        <v>333</v>
      </c>
      <c r="D16" s="32">
        <v>0</v>
      </c>
      <c r="E16" s="32">
        <v>2</v>
      </c>
      <c r="F16" s="32">
        <v>1</v>
      </c>
      <c r="G16" s="32">
        <v>1</v>
      </c>
      <c r="H16" s="32">
        <v>4</v>
      </c>
      <c r="I16" s="69">
        <v>1.5873015873015872</v>
      </c>
    </row>
    <row r="17" spans="3:9" x14ac:dyDescent="0.25">
      <c r="C17" s="85" t="s">
        <v>327</v>
      </c>
      <c r="D17" s="83">
        <v>0</v>
      </c>
      <c r="E17" s="83">
        <v>1</v>
      </c>
      <c r="F17" s="83">
        <v>1</v>
      </c>
      <c r="G17" s="83">
        <v>0</v>
      </c>
      <c r="H17" s="83">
        <v>2</v>
      </c>
      <c r="I17" s="75">
        <v>0.79365079365079361</v>
      </c>
    </row>
    <row r="18" spans="3:9" x14ac:dyDescent="0.25">
      <c r="C18" s="26" t="s">
        <v>360</v>
      </c>
      <c r="D18" s="32">
        <v>0</v>
      </c>
      <c r="E18" s="32">
        <v>0</v>
      </c>
      <c r="F18" s="32">
        <v>2</v>
      </c>
      <c r="G18" s="32">
        <v>0</v>
      </c>
      <c r="H18" s="32">
        <v>2</v>
      </c>
      <c r="I18" s="69">
        <v>0.79365079365079361</v>
      </c>
    </row>
    <row r="19" spans="3:9" ht="15.75" thickBot="1" x14ac:dyDescent="0.3">
      <c r="C19" s="86" t="s">
        <v>290</v>
      </c>
      <c r="D19" s="87">
        <v>1</v>
      </c>
      <c r="E19" s="87">
        <v>0</v>
      </c>
      <c r="F19" s="87">
        <v>0</v>
      </c>
      <c r="G19" s="87">
        <v>0</v>
      </c>
      <c r="H19" s="87">
        <v>1</v>
      </c>
      <c r="I19" s="76">
        <v>0.3968253968253968</v>
      </c>
    </row>
  </sheetData>
  <mergeCells count="4">
    <mergeCell ref="C6:I6"/>
    <mergeCell ref="C7:I7"/>
    <mergeCell ref="D9:G9"/>
    <mergeCell ref="C2:X4"/>
  </mergeCells>
  <pageMargins left="0.7" right="0.7" top="0.75" bottom="0.75" header="0.3" footer="0.3"/>
  <pageSetup scale="3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463"/>
  <sheetViews>
    <sheetView showGridLines="0" topLeftCell="A292" zoomScale="55" zoomScaleNormal="55" zoomScaleSheetLayoutView="40" workbookViewId="0">
      <selection activeCell="E335" sqref="E335"/>
    </sheetView>
  </sheetViews>
  <sheetFormatPr defaultRowHeight="15" x14ac:dyDescent="0.25"/>
  <cols>
    <col min="2" max="2" width="25.5703125" style="10" bestFit="1" customWidth="1"/>
    <col min="3" max="3" width="28.7109375" bestFit="1" customWidth="1"/>
    <col min="4" max="4" width="20.140625" bestFit="1" customWidth="1"/>
    <col min="5" max="5" width="20.42578125" customWidth="1"/>
    <col min="6" max="6" width="14" style="10" bestFit="1" customWidth="1"/>
    <col min="7" max="8" width="20.140625" style="10" bestFit="1" customWidth="1"/>
    <col min="9" max="9" width="15" style="10" bestFit="1" customWidth="1"/>
    <col min="10" max="10" width="20.140625" style="10" customWidth="1"/>
    <col min="11" max="11" width="15" style="10" bestFit="1" customWidth="1"/>
    <col min="12" max="12" width="10.7109375" bestFit="1" customWidth="1"/>
    <col min="13" max="13" width="15.85546875" bestFit="1" customWidth="1"/>
    <col min="14" max="14" width="23.7109375" bestFit="1" customWidth="1"/>
    <col min="15" max="15" width="12.28515625" bestFit="1" customWidth="1"/>
    <col min="16" max="16" width="20.140625" bestFit="1" customWidth="1"/>
    <col min="17" max="17" width="15" bestFit="1" customWidth="1"/>
  </cols>
  <sheetData>
    <row r="1" spans="2:23" ht="15.75" thickBot="1" x14ac:dyDescent="0.3"/>
    <row r="2" spans="2:23" x14ac:dyDescent="0.25">
      <c r="B2" s="409" t="s">
        <v>503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1"/>
    </row>
    <row r="3" spans="2:23" x14ac:dyDescent="0.25">
      <c r="B3" s="412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4"/>
    </row>
    <row r="4" spans="2:23" ht="15.75" thickBot="1" x14ac:dyDescent="0.3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7"/>
    </row>
    <row r="6" spans="2:23" ht="15.75" thickBot="1" x14ac:dyDescent="0.3"/>
    <row r="7" spans="2:23" ht="27" thickBot="1" x14ac:dyDescent="0.45">
      <c r="B7" s="394" t="s">
        <v>394</v>
      </c>
      <c r="C7" s="430"/>
      <c r="D7" s="430"/>
      <c r="E7" s="430"/>
      <c r="F7" s="430"/>
      <c r="G7" s="430"/>
      <c r="H7" s="430"/>
      <c r="I7" s="430"/>
      <c r="J7" s="430"/>
      <c r="K7" s="431"/>
    </row>
    <row r="8" spans="2:23" ht="21.75" thickBot="1" x14ac:dyDescent="0.4">
      <c r="B8" s="397" t="s">
        <v>396</v>
      </c>
      <c r="C8" s="398"/>
      <c r="D8" s="398"/>
      <c r="E8" s="398"/>
      <c r="F8" s="398"/>
      <c r="G8" s="398"/>
      <c r="H8" s="398"/>
      <c r="I8" s="398"/>
      <c r="J8" s="398"/>
      <c r="K8" s="399"/>
    </row>
    <row r="9" spans="2:23" ht="15.75" thickBot="1" x14ac:dyDescent="0.3">
      <c r="B9" s="11"/>
      <c r="C9" s="7"/>
      <c r="D9" s="7"/>
      <c r="E9" s="7"/>
      <c r="F9" s="11"/>
      <c r="G9" s="11"/>
      <c r="H9" s="11"/>
      <c r="I9" s="11"/>
      <c r="J9" s="11"/>
      <c r="K9" s="11"/>
    </row>
    <row r="10" spans="2:23" ht="19.5" thickBot="1" x14ac:dyDescent="0.3">
      <c r="B10" s="177"/>
      <c r="C10" s="178"/>
      <c r="D10" s="178"/>
      <c r="E10" s="178"/>
      <c r="F10" s="421" t="s">
        <v>389</v>
      </c>
      <c r="G10" s="421"/>
      <c r="H10" s="421"/>
      <c r="I10" s="421" t="s">
        <v>390</v>
      </c>
      <c r="J10" s="421"/>
      <c r="K10" s="422"/>
    </row>
    <row r="11" spans="2:23" s="12" customFormat="1" ht="18.75" x14ac:dyDescent="0.25">
      <c r="B11" s="180" t="s">
        <v>253</v>
      </c>
      <c r="C11" s="179" t="s">
        <v>473</v>
      </c>
      <c r="D11" s="179" t="s">
        <v>267</v>
      </c>
      <c r="E11" s="179" t="s">
        <v>268</v>
      </c>
      <c r="F11" s="179" t="s">
        <v>473</v>
      </c>
      <c r="G11" s="179" t="s">
        <v>267</v>
      </c>
      <c r="H11" s="179" t="s">
        <v>268</v>
      </c>
      <c r="I11" s="179" t="s">
        <v>473</v>
      </c>
      <c r="J11" s="179" t="s">
        <v>267</v>
      </c>
      <c r="K11" s="181" t="s">
        <v>268</v>
      </c>
      <c r="N11" s="208" t="str">
        <f>B11</f>
        <v>Tema</v>
      </c>
      <c r="O11" s="209" t="str">
        <f t="shared" ref="O11:Q13" si="0">I11</f>
        <v>Gostos</v>
      </c>
      <c r="P11" s="209" t="str">
        <f t="shared" si="0"/>
        <v>Comentários</v>
      </c>
      <c r="Q11" s="210" t="str">
        <f t="shared" si="0"/>
        <v>Partilhas</v>
      </c>
    </row>
    <row r="12" spans="2:23" ht="15.75" thickBot="1" x14ac:dyDescent="0.3">
      <c r="B12" s="252" t="s">
        <v>284</v>
      </c>
      <c r="C12" s="253">
        <v>360</v>
      </c>
      <c r="D12" s="253">
        <v>101</v>
      </c>
      <c r="E12" s="254">
        <v>61</v>
      </c>
      <c r="F12" s="255">
        <v>360</v>
      </c>
      <c r="G12" s="256">
        <v>101</v>
      </c>
      <c r="H12" s="257">
        <v>61</v>
      </c>
      <c r="I12" s="258">
        <v>360</v>
      </c>
      <c r="J12" s="256">
        <v>101</v>
      </c>
      <c r="K12" s="257">
        <v>61</v>
      </c>
      <c r="N12" s="78" t="str">
        <f>B12</f>
        <v>Adesão Turquia</v>
      </c>
      <c r="O12" s="98">
        <f t="shared" si="0"/>
        <v>360</v>
      </c>
      <c r="P12" s="109">
        <f t="shared" si="0"/>
        <v>101</v>
      </c>
      <c r="Q12" s="99">
        <f t="shared" si="0"/>
        <v>61</v>
      </c>
    </row>
    <row r="13" spans="2:23" ht="15.75" thickBot="1" x14ac:dyDescent="0.3">
      <c r="B13" s="432" t="s">
        <v>257</v>
      </c>
      <c r="C13" s="221">
        <v>810</v>
      </c>
      <c r="D13" s="221">
        <v>179</v>
      </c>
      <c r="E13" s="222">
        <v>465</v>
      </c>
      <c r="F13" s="423">
        <f>+SUM(C13:C15)</f>
        <v>2910</v>
      </c>
      <c r="G13" s="424">
        <f>+SUM(D13:D15)</f>
        <v>325</v>
      </c>
      <c r="H13" s="425">
        <f>+SUM(E13:E15)</f>
        <v>856</v>
      </c>
      <c r="I13" s="426">
        <f>+AVERAGE(C13:C15)</f>
        <v>970</v>
      </c>
      <c r="J13" s="424">
        <f>+AVERAGE(D13:D15)</f>
        <v>108.33333333333333</v>
      </c>
      <c r="K13" s="425">
        <f>+AVERAGE(E13:E15)</f>
        <v>285.33333333333331</v>
      </c>
      <c r="N13" s="26" t="str">
        <f>B13</f>
        <v>Ambiente</v>
      </c>
      <c r="O13" s="100">
        <f t="shared" si="0"/>
        <v>970</v>
      </c>
      <c r="P13" s="100">
        <f t="shared" si="0"/>
        <v>108.33333333333333</v>
      </c>
      <c r="Q13" s="101">
        <f t="shared" si="0"/>
        <v>285.33333333333331</v>
      </c>
    </row>
    <row r="14" spans="2:23" ht="15.75" thickBot="1" x14ac:dyDescent="0.3">
      <c r="B14" s="433"/>
      <c r="C14" s="221">
        <v>1100</v>
      </c>
      <c r="D14" s="221">
        <v>84</v>
      </c>
      <c r="E14" s="222">
        <v>217</v>
      </c>
      <c r="F14" s="423"/>
      <c r="G14" s="424"/>
      <c r="H14" s="425"/>
      <c r="I14" s="426"/>
      <c r="J14" s="424"/>
      <c r="K14" s="425"/>
      <c r="N14" s="78" t="str">
        <f>B16</f>
        <v>Atividades PE</v>
      </c>
      <c r="O14" s="98">
        <f>I16</f>
        <v>655.88888888888891</v>
      </c>
      <c r="P14" s="98">
        <f>J16</f>
        <v>56.444444444444443</v>
      </c>
      <c r="Q14" s="99">
        <f>K16</f>
        <v>107.77777777777777</v>
      </c>
    </row>
    <row r="15" spans="2:23" ht="15.75" thickBot="1" x14ac:dyDescent="0.3">
      <c r="B15" s="434"/>
      <c r="C15" s="221">
        <v>1000</v>
      </c>
      <c r="D15" s="221">
        <v>62</v>
      </c>
      <c r="E15" s="222">
        <v>174</v>
      </c>
      <c r="F15" s="423"/>
      <c r="G15" s="424"/>
      <c r="H15" s="425"/>
      <c r="I15" s="426"/>
      <c r="J15" s="424"/>
      <c r="K15" s="425"/>
      <c r="N15" s="26" t="str">
        <f>B25</f>
        <v>Brexit</v>
      </c>
      <c r="O15" s="100">
        <f t="shared" ref="O15:Q17" si="1">I25</f>
        <v>515</v>
      </c>
      <c r="P15" s="100">
        <f t="shared" si="1"/>
        <v>93</v>
      </c>
      <c r="Q15" s="101">
        <f t="shared" si="1"/>
        <v>104</v>
      </c>
    </row>
    <row r="16" spans="2:23" ht="15.75" thickBot="1" x14ac:dyDescent="0.3">
      <c r="B16" s="481" t="s">
        <v>256</v>
      </c>
      <c r="C16" s="259">
        <v>661</v>
      </c>
      <c r="D16" s="259">
        <v>38</v>
      </c>
      <c r="E16" s="260">
        <v>127</v>
      </c>
      <c r="F16" s="428">
        <f>+SUM(C16:C24)</f>
        <v>5903</v>
      </c>
      <c r="G16" s="429">
        <f>+SUM(D16:D24)</f>
        <v>508</v>
      </c>
      <c r="H16" s="427">
        <f>+SUM(E16:E24)</f>
        <v>970</v>
      </c>
      <c r="I16" s="435">
        <f>+AVERAGE(C16:C24)</f>
        <v>655.88888888888891</v>
      </c>
      <c r="J16" s="429">
        <f>+AVERAGE(D16:D24)</f>
        <v>56.444444444444443</v>
      </c>
      <c r="K16" s="427">
        <f>+AVERAGE(E16:E24)</f>
        <v>107.77777777777777</v>
      </c>
      <c r="N16" s="78" t="str">
        <f>B26</f>
        <v>Cultura</v>
      </c>
      <c r="O16" s="229">
        <f t="shared" si="1"/>
        <v>523</v>
      </c>
      <c r="P16" s="98">
        <f t="shared" si="1"/>
        <v>28</v>
      </c>
      <c r="Q16" s="99">
        <f t="shared" si="1"/>
        <v>134</v>
      </c>
    </row>
    <row r="17" spans="2:25" ht="15.75" thickBot="1" x14ac:dyDescent="0.3">
      <c r="B17" s="482"/>
      <c r="C17" s="259">
        <v>537</v>
      </c>
      <c r="D17" s="259">
        <v>51</v>
      </c>
      <c r="E17" s="260">
        <v>113</v>
      </c>
      <c r="F17" s="428"/>
      <c r="G17" s="429"/>
      <c r="H17" s="427"/>
      <c r="I17" s="435"/>
      <c r="J17" s="429"/>
      <c r="K17" s="427"/>
      <c r="N17" s="26" t="str">
        <f>B27</f>
        <v>DH</v>
      </c>
      <c r="O17" s="100">
        <f t="shared" si="1"/>
        <v>378.33333333333331</v>
      </c>
      <c r="P17" s="100">
        <f t="shared" si="1"/>
        <v>48</v>
      </c>
      <c r="Q17" s="101">
        <f t="shared" si="1"/>
        <v>156</v>
      </c>
      <c r="Y17" s="17"/>
    </row>
    <row r="18" spans="2:25" ht="15.75" thickBot="1" x14ac:dyDescent="0.3">
      <c r="B18" s="482"/>
      <c r="C18" s="259">
        <v>2300</v>
      </c>
      <c r="D18" s="259">
        <v>133</v>
      </c>
      <c r="E18" s="260">
        <v>167</v>
      </c>
      <c r="F18" s="428"/>
      <c r="G18" s="429"/>
      <c r="H18" s="427"/>
      <c r="I18" s="435"/>
      <c r="J18" s="429"/>
      <c r="K18" s="427"/>
      <c r="N18" s="78" t="str">
        <f>B30</f>
        <v>Economia</v>
      </c>
      <c r="O18" s="98">
        <f>I30</f>
        <v>470.66666666666669</v>
      </c>
      <c r="P18" s="98">
        <f>J30</f>
        <v>61</v>
      </c>
      <c r="Q18" s="99">
        <f>K30</f>
        <v>103.66666666666667</v>
      </c>
      <c r="X18" s="17"/>
    </row>
    <row r="19" spans="2:25" ht="15.75" thickBot="1" x14ac:dyDescent="0.3">
      <c r="B19" s="482"/>
      <c r="C19" s="259">
        <v>178</v>
      </c>
      <c r="D19" s="259">
        <v>39</v>
      </c>
      <c r="E19" s="260">
        <v>59</v>
      </c>
      <c r="F19" s="428"/>
      <c r="G19" s="429"/>
      <c r="H19" s="427"/>
      <c r="I19" s="435"/>
      <c r="J19" s="429"/>
      <c r="K19" s="427"/>
      <c r="N19" s="26" t="str">
        <f>B33</f>
        <v>Efemérides</v>
      </c>
      <c r="O19" s="100">
        <f t="shared" ref="O19:Q21" si="2">I33</f>
        <v>4300</v>
      </c>
      <c r="P19" s="100">
        <f t="shared" si="2"/>
        <v>163</v>
      </c>
      <c r="Q19" s="101">
        <f t="shared" si="2"/>
        <v>553</v>
      </c>
    </row>
    <row r="20" spans="2:25" ht="15.75" thickBot="1" x14ac:dyDescent="0.3">
      <c r="B20" s="482"/>
      <c r="C20" s="259">
        <v>614</v>
      </c>
      <c r="D20" s="259">
        <v>48</v>
      </c>
      <c r="E20" s="260">
        <v>71</v>
      </c>
      <c r="F20" s="428"/>
      <c r="G20" s="429"/>
      <c r="H20" s="427"/>
      <c r="I20" s="435"/>
      <c r="J20" s="429"/>
      <c r="K20" s="427"/>
      <c r="N20" s="78" t="str">
        <f>B34</f>
        <v>Energia</v>
      </c>
      <c r="O20" s="98">
        <f t="shared" si="2"/>
        <v>1088</v>
      </c>
      <c r="P20" s="98">
        <f t="shared" si="2"/>
        <v>122</v>
      </c>
      <c r="Q20" s="99">
        <f t="shared" si="2"/>
        <v>437</v>
      </c>
    </row>
    <row r="21" spans="2:25" ht="15.75" thickBot="1" x14ac:dyDescent="0.3">
      <c r="B21" s="482"/>
      <c r="C21" s="259">
        <v>412</v>
      </c>
      <c r="D21" s="259">
        <v>31</v>
      </c>
      <c r="E21" s="260">
        <v>81</v>
      </c>
      <c r="F21" s="428"/>
      <c r="G21" s="429"/>
      <c r="H21" s="427"/>
      <c r="I21" s="435"/>
      <c r="J21" s="429"/>
      <c r="K21" s="427"/>
      <c r="N21" s="26" t="str">
        <f>B35</f>
        <v>Financiamento Europeu</v>
      </c>
      <c r="O21" s="100">
        <f t="shared" si="2"/>
        <v>255.5</v>
      </c>
      <c r="P21" s="100">
        <f t="shared" si="2"/>
        <v>39</v>
      </c>
      <c r="Q21" s="101">
        <f t="shared" si="2"/>
        <v>109.5</v>
      </c>
    </row>
    <row r="22" spans="2:25" ht="15.75" thickBot="1" x14ac:dyDescent="0.3">
      <c r="B22" s="482"/>
      <c r="C22" s="259">
        <v>691</v>
      </c>
      <c r="D22" s="259">
        <v>70</v>
      </c>
      <c r="E22" s="260">
        <v>227</v>
      </c>
      <c r="F22" s="428"/>
      <c r="G22" s="429"/>
      <c r="H22" s="427"/>
      <c r="I22" s="435"/>
      <c r="J22" s="429"/>
      <c r="K22" s="427"/>
      <c r="N22" s="78" t="str">
        <f>B37</f>
        <v>Faits-Divers</v>
      </c>
      <c r="O22" s="98">
        <f>I37</f>
        <v>5531</v>
      </c>
      <c r="P22" s="98">
        <f>J37</f>
        <v>107.33333333333333</v>
      </c>
      <c r="Q22" s="99">
        <f>K37</f>
        <v>289</v>
      </c>
    </row>
    <row r="23" spans="2:25" ht="15.75" thickBot="1" x14ac:dyDescent="0.3">
      <c r="B23" s="482"/>
      <c r="C23" s="259">
        <v>273</v>
      </c>
      <c r="D23" s="259">
        <v>29</v>
      </c>
      <c r="E23" s="260">
        <v>31</v>
      </c>
      <c r="F23" s="428"/>
      <c r="G23" s="429"/>
      <c r="H23" s="427"/>
      <c r="I23" s="435"/>
      <c r="J23" s="429"/>
      <c r="K23" s="427"/>
      <c r="N23" s="26" t="str">
        <f>B40</f>
        <v>Informações Úteis</v>
      </c>
      <c r="O23" s="100">
        <f>I40</f>
        <v>420.5</v>
      </c>
      <c r="P23" s="100">
        <f>J40</f>
        <v>69.666666666666671</v>
      </c>
      <c r="Q23" s="101">
        <f>K40</f>
        <v>75.833333333333329</v>
      </c>
    </row>
    <row r="24" spans="2:25" ht="15.75" thickBot="1" x14ac:dyDescent="0.3">
      <c r="B24" s="483"/>
      <c r="C24" s="259">
        <v>237</v>
      </c>
      <c r="D24" s="259">
        <v>69</v>
      </c>
      <c r="E24" s="260">
        <v>94</v>
      </c>
      <c r="F24" s="428"/>
      <c r="G24" s="429"/>
      <c r="H24" s="427"/>
      <c r="I24" s="435"/>
      <c r="J24" s="429"/>
      <c r="K24" s="427"/>
      <c r="N24" s="121" t="str">
        <f>B46</f>
        <v>Multilinguismo</v>
      </c>
      <c r="O24" s="98">
        <f>I46</f>
        <v>719</v>
      </c>
      <c r="P24" s="98">
        <f>J46</f>
        <v>71</v>
      </c>
      <c r="Q24" s="99">
        <f>K46</f>
        <v>91</v>
      </c>
    </row>
    <row r="25" spans="2:25" ht="15.75" thickBot="1" x14ac:dyDescent="0.3">
      <c r="B25" s="225" t="s">
        <v>294</v>
      </c>
      <c r="C25" s="221">
        <v>515</v>
      </c>
      <c r="D25" s="221">
        <v>93</v>
      </c>
      <c r="E25" s="222">
        <v>104</v>
      </c>
      <c r="F25" s="226">
        <v>515</v>
      </c>
      <c r="G25" s="227">
        <v>93</v>
      </c>
      <c r="H25" s="228">
        <v>104</v>
      </c>
      <c r="I25" s="270">
        <v>515</v>
      </c>
      <c r="J25" s="227">
        <v>93</v>
      </c>
      <c r="K25" s="228">
        <v>104</v>
      </c>
      <c r="N25" s="26" t="str">
        <f>B48</f>
        <v>Outros</v>
      </c>
      <c r="O25" s="100">
        <f t="shared" ref="O25:Q26" si="3">I48</f>
        <v>338</v>
      </c>
      <c r="P25" s="100">
        <f t="shared" si="3"/>
        <v>102</v>
      </c>
      <c r="Q25" s="101">
        <f t="shared" si="3"/>
        <v>86</v>
      </c>
    </row>
    <row r="26" spans="2:25" ht="15.75" thickBot="1" x14ac:dyDescent="0.3">
      <c r="B26" s="261" t="s">
        <v>334</v>
      </c>
      <c r="C26" s="259">
        <v>523</v>
      </c>
      <c r="D26" s="259">
        <v>28</v>
      </c>
      <c r="E26" s="260">
        <v>134</v>
      </c>
      <c r="F26" s="262">
        <v>523</v>
      </c>
      <c r="G26" s="263">
        <v>28</v>
      </c>
      <c r="H26" s="264">
        <v>134</v>
      </c>
      <c r="I26" s="265">
        <v>523</v>
      </c>
      <c r="J26" s="263">
        <v>28</v>
      </c>
      <c r="K26" s="264">
        <v>134</v>
      </c>
      <c r="N26" s="78" t="str">
        <f>B49</f>
        <v>Passatempos</v>
      </c>
      <c r="O26" s="98">
        <f t="shared" si="3"/>
        <v>246</v>
      </c>
      <c r="P26" s="98">
        <f t="shared" si="3"/>
        <v>26.4</v>
      </c>
      <c r="Q26" s="99">
        <f t="shared" si="3"/>
        <v>48.8</v>
      </c>
    </row>
    <row r="27" spans="2:25" ht="15.75" thickBot="1" x14ac:dyDescent="0.3">
      <c r="B27" s="432" t="s">
        <v>328</v>
      </c>
      <c r="C27" s="221">
        <v>485</v>
      </c>
      <c r="D27" s="221">
        <v>33</v>
      </c>
      <c r="E27" s="222">
        <v>193</v>
      </c>
      <c r="F27" s="423">
        <f>+SUM(C27:C29)</f>
        <v>1135</v>
      </c>
      <c r="G27" s="424">
        <f>+SUM(D27:D29)</f>
        <v>144</v>
      </c>
      <c r="H27" s="425">
        <f>+SUM(E27:E29)</f>
        <v>468</v>
      </c>
      <c r="I27" s="426">
        <f>+AVERAGE(C27:C29)</f>
        <v>378.33333333333331</v>
      </c>
      <c r="J27" s="424">
        <f>+AVERAGE(D27:D29)</f>
        <v>48</v>
      </c>
      <c r="K27" s="425">
        <f>+AVERAGE(E27:E29)</f>
        <v>156</v>
      </c>
      <c r="N27" s="26" t="str">
        <f>B54</f>
        <v>Redes Sociais</v>
      </c>
      <c r="O27" s="100">
        <f>I54</f>
        <v>6150</v>
      </c>
      <c r="P27" s="100">
        <f>J54</f>
        <v>223.5</v>
      </c>
      <c r="Q27" s="101">
        <f>K54</f>
        <v>143</v>
      </c>
    </row>
    <row r="28" spans="2:25" ht="15.75" thickBot="1" x14ac:dyDescent="0.3">
      <c r="B28" s="433"/>
      <c r="C28" s="221">
        <v>485</v>
      </c>
      <c r="D28" s="221">
        <v>49</v>
      </c>
      <c r="E28" s="222">
        <v>139</v>
      </c>
      <c r="F28" s="423"/>
      <c r="G28" s="424"/>
      <c r="H28" s="425"/>
      <c r="I28" s="426"/>
      <c r="J28" s="424"/>
      <c r="K28" s="425"/>
      <c r="N28" s="78" t="str">
        <f>B56</f>
        <v>Refugiados</v>
      </c>
      <c r="O28" s="98">
        <f>I56</f>
        <v>816.4</v>
      </c>
      <c r="P28" s="98">
        <f>J56</f>
        <v>171.8</v>
      </c>
      <c r="Q28" s="99">
        <f>K56</f>
        <v>135.6</v>
      </c>
    </row>
    <row r="29" spans="2:25" ht="15.75" thickBot="1" x14ac:dyDescent="0.3">
      <c r="B29" s="434"/>
      <c r="C29" s="221">
        <v>165</v>
      </c>
      <c r="D29" s="221">
        <v>62</v>
      </c>
      <c r="E29" s="222">
        <v>136</v>
      </c>
      <c r="F29" s="423"/>
      <c r="G29" s="424"/>
      <c r="H29" s="425"/>
      <c r="I29" s="426"/>
      <c r="J29" s="424"/>
      <c r="K29" s="425"/>
      <c r="N29" s="27" t="str">
        <f>B61</f>
        <v>Terrorismo</v>
      </c>
      <c r="O29" s="102">
        <f>I61</f>
        <v>1568.0833333333333</v>
      </c>
      <c r="P29" s="102">
        <f>J61</f>
        <v>130</v>
      </c>
      <c r="Q29" s="103">
        <f>K61</f>
        <v>247.58333333333334</v>
      </c>
    </row>
    <row r="30" spans="2:25" ht="15.75" thickBot="1" x14ac:dyDescent="0.3">
      <c r="B30" s="481" t="s">
        <v>295</v>
      </c>
      <c r="C30" s="259">
        <v>559</v>
      </c>
      <c r="D30" s="259">
        <v>63</v>
      </c>
      <c r="E30" s="260">
        <v>83</v>
      </c>
      <c r="F30" s="428">
        <f>+SUM(C30:C32)</f>
        <v>1412</v>
      </c>
      <c r="G30" s="429">
        <f>+SUM(D30:D32)</f>
        <v>183</v>
      </c>
      <c r="H30" s="427">
        <f>+SUM(E30:E32)</f>
        <v>311</v>
      </c>
      <c r="I30" s="435">
        <f>+AVERAGE(C30:C32)</f>
        <v>470.66666666666669</v>
      </c>
      <c r="J30" s="429">
        <f>+AVERAGE(D30:D32)</f>
        <v>61</v>
      </c>
      <c r="K30" s="427">
        <f>+AVERAGE(E30:E32)</f>
        <v>103.66666666666667</v>
      </c>
    </row>
    <row r="31" spans="2:25" ht="15.75" thickBot="1" x14ac:dyDescent="0.3">
      <c r="B31" s="482"/>
      <c r="C31" s="259">
        <v>513</v>
      </c>
      <c r="D31" s="259">
        <v>81</v>
      </c>
      <c r="E31" s="260">
        <v>157</v>
      </c>
      <c r="F31" s="428"/>
      <c r="G31" s="429"/>
      <c r="H31" s="427"/>
      <c r="I31" s="435"/>
      <c r="J31" s="429"/>
      <c r="K31" s="427"/>
    </row>
    <row r="32" spans="2:25" ht="15.75" thickBot="1" x14ac:dyDescent="0.3">
      <c r="B32" s="483"/>
      <c r="C32" s="259">
        <v>340</v>
      </c>
      <c r="D32" s="259">
        <v>39</v>
      </c>
      <c r="E32" s="260">
        <v>71</v>
      </c>
      <c r="F32" s="428"/>
      <c r="G32" s="429"/>
      <c r="H32" s="427"/>
      <c r="I32" s="435"/>
      <c r="J32" s="429"/>
      <c r="K32" s="427"/>
    </row>
    <row r="33" spans="2:11" ht="15.75" thickBot="1" x14ac:dyDescent="0.3">
      <c r="B33" s="225" t="s">
        <v>380</v>
      </c>
      <c r="C33" s="221">
        <v>4300</v>
      </c>
      <c r="D33" s="221">
        <v>163</v>
      </c>
      <c r="E33" s="222">
        <v>553</v>
      </c>
      <c r="F33" s="226">
        <v>4300</v>
      </c>
      <c r="G33" s="227">
        <v>163</v>
      </c>
      <c r="H33" s="228">
        <v>553</v>
      </c>
      <c r="I33" s="270">
        <v>4300</v>
      </c>
      <c r="J33" s="227">
        <v>163</v>
      </c>
      <c r="K33" s="228">
        <v>553</v>
      </c>
    </row>
    <row r="34" spans="2:11" ht="15.75" thickBot="1" x14ac:dyDescent="0.3">
      <c r="B34" s="261" t="s">
        <v>298</v>
      </c>
      <c r="C34" s="259">
        <v>1088</v>
      </c>
      <c r="D34" s="259">
        <v>122</v>
      </c>
      <c r="E34" s="260">
        <v>437</v>
      </c>
      <c r="F34" s="262">
        <v>1088</v>
      </c>
      <c r="G34" s="263">
        <v>122</v>
      </c>
      <c r="H34" s="264">
        <v>437</v>
      </c>
      <c r="I34" s="265">
        <v>1088</v>
      </c>
      <c r="J34" s="263">
        <v>122</v>
      </c>
      <c r="K34" s="264">
        <v>437</v>
      </c>
    </row>
    <row r="35" spans="2:11" ht="15.75" thickBot="1" x14ac:dyDescent="0.3">
      <c r="B35" s="432" t="s">
        <v>282</v>
      </c>
      <c r="C35" s="221">
        <v>227</v>
      </c>
      <c r="D35" s="221">
        <v>31</v>
      </c>
      <c r="E35" s="222">
        <v>56</v>
      </c>
      <c r="F35" s="423">
        <f>+SUM(C35:C36)</f>
        <v>511</v>
      </c>
      <c r="G35" s="424">
        <f>+SUM(D35:D36)</f>
        <v>78</v>
      </c>
      <c r="H35" s="425">
        <f>+SUM(E35:E36)</f>
        <v>219</v>
      </c>
      <c r="I35" s="426">
        <f>+AVERAGE(C35:C36)</f>
        <v>255.5</v>
      </c>
      <c r="J35" s="424">
        <f>+AVERAGE(D35:D36)</f>
        <v>39</v>
      </c>
      <c r="K35" s="425">
        <f>+AVERAGE(E35:E36)</f>
        <v>109.5</v>
      </c>
    </row>
    <row r="36" spans="2:11" ht="15.75" thickBot="1" x14ac:dyDescent="0.3">
      <c r="B36" s="434"/>
      <c r="C36" s="221">
        <v>284</v>
      </c>
      <c r="D36" s="221">
        <v>47</v>
      </c>
      <c r="E36" s="222">
        <v>163</v>
      </c>
      <c r="F36" s="423"/>
      <c r="G36" s="424"/>
      <c r="H36" s="425"/>
      <c r="I36" s="426"/>
      <c r="J36" s="424"/>
      <c r="K36" s="425"/>
    </row>
    <row r="37" spans="2:11" ht="15.75" thickBot="1" x14ac:dyDescent="0.3">
      <c r="B37" s="485" t="s">
        <v>478</v>
      </c>
      <c r="C37" s="259">
        <v>9500</v>
      </c>
      <c r="D37" s="259">
        <v>197</v>
      </c>
      <c r="E37" s="260">
        <v>440</v>
      </c>
      <c r="F37" s="428">
        <f>+SUM(C37:C39)</f>
        <v>16593</v>
      </c>
      <c r="G37" s="429">
        <f>+SUM(D37:D39)</f>
        <v>322</v>
      </c>
      <c r="H37" s="427">
        <f>+SUM(E37:E39)</f>
        <v>867</v>
      </c>
      <c r="I37" s="435">
        <f>+AVERAGE(C37:C39)</f>
        <v>5531</v>
      </c>
      <c r="J37" s="429">
        <f>+AVERAGE(D37:D39)</f>
        <v>107.33333333333333</v>
      </c>
      <c r="K37" s="427">
        <f>+AVERAGE(E37:E39)</f>
        <v>289</v>
      </c>
    </row>
    <row r="38" spans="2:11" ht="15.75" thickBot="1" x14ac:dyDescent="0.3">
      <c r="B38" s="482"/>
      <c r="C38" s="259">
        <v>7000</v>
      </c>
      <c r="D38" s="259">
        <v>108</v>
      </c>
      <c r="E38" s="260">
        <v>424</v>
      </c>
      <c r="F38" s="428"/>
      <c r="G38" s="429"/>
      <c r="H38" s="427"/>
      <c r="I38" s="435"/>
      <c r="J38" s="429"/>
      <c r="K38" s="427"/>
    </row>
    <row r="39" spans="2:11" ht="15.75" thickBot="1" x14ac:dyDescent="0.3">
      <c r="B39" s="483"/>
      <c r="C39" s="259">
        <v>93</v>
      </c>
      <c r="D39" s="259">
        <v>17</v>
      </c>
      <c r="E39" s="260">
        <v>3</v>
      </c>
      <c r="F39" s="428"/>
      <c r="G39" s="429"/>
      <c r="H39" s="427"/>
      <c r="I39" s="435"/>
      <c r="J39" s="429"/>
      <c r="K39" s="427"/>
    </row>
    <row r="40" spans="2:11" ht="15.75" thickBot="1" x14ac:dyDescent="0.3">
      <c r="B40" s="432" t="s">
        <v>285</v>
      </c>
      <c r="C40" s="221">
        <v>388</v>
      </c>
      <c r="D40" s="221">
        <v>57</v>
      </c>
      <c r="E40" s="222">
        <v>93</v>
      </c>
      <c r="F40" s="423">
        <f>+SUM(C40:C45)</f>
        <v>2523</v>
      </c>
      <c r="G40" s="424">
        <f>+SUM(D40:D45)</f>
        <v>418</v>
      </c>
      <c r="H40" s="425">
        <f>+SUM(E40:E45)</f>
        <v>455</v>
      </c>
      <c r="I40" s="426">
        <f>+AVERAGE(C40:C45)</f>
        <v>420.5</v>
      </c>
      <c r="J40" s="424">
        <f>+AVERAGE(D40:D45)</f>
        <v>69.666666666666671</v>
      </c>
      <c r="K40" s="425">
        <f>+AVERAGE(E40:E45)</f>
        <v>75.833333333333329</v>
      </c>
    </row>
    <row r="41" spans="2:11" ht="15.75" thickBot="1" x14ac:dyDescent="0.3">
      <c r="B41" s="433"/>
      <c r="C41" s="221">
        <v>282</v>
      </c>
      <c r="D41" s="221">
        <v>24</v>
      </c>
      <c r="E41" s="222">
        <v>120</v>
      </c>
      <c r="F41" s="423"/>
      <c r="G41" s="424"/>
      <c r="H41" s="425"/>
      <c r="I41" s="426"/>
      <c r="J41" s="424"/>
      <c r="K41" s="425"/>
    </row>
    <row r="42" spans="2:11" ht="15.75" thickBot="1" x14ac:dyDescent="0.3">
      <c r="B42" s="433"/>
      <c r="C42" s="221">
        <v>885</v>
      </c>
      <c r="D42" s="221">
        <v>150</v>
      </c>
      <c r="E42" s="222">
        <v>53</v>
      </c>
      <c r="F42" s="423"/>
      <c r="G42" s="424"/>
      <c r="H42" s="425"/>
      <c r="I42" s="426"/>
      <c r="J42" s="424"/>
      <c r="K42" s="425"/>
    </row>
    <row r="43" spans="2:11" ht="15.75" thickBot="1" x14ac:dyDescent="0.3">
      <c r="B43" s="433"/>
      <c r="C43" s="221">
        <v>482</v>
      </c>
      <c r="D43" s="221">
        <v>55</v>
      </c>
      <c r="E43" s="222">
        <v>94</v>
      </c>
      <c r="F43" s="423"/>
      <c r="G43" s="424"/>
      <c r="H43" s="425"/>
      <c r="I43" s="426"/>
      <c r="J43" s="424"/>
      <c r="K43" s="425"/>
    </row>
    <row r="44" spans="2:11" ht="15.75" thickBot="1" x14ac:dyDescent="0.3">
      <c r="B44" s="433"/>
      <c r="C44" s="221">
        <v>444</v>
      </c>
      <c r="D44" s="221">
        <v>121</v>
      </c>
      <c r="E44" s="222">
        <v>80</v>
      </c>
      <c r="F44" s="423"/>
      <c r="G44" s="424"/>
      <c r="H44" s="425"/>
      <c r="I44" s="426"/>
      <c r="J44" s="424"/>
      <c r="K44" s="425"/>
    </row>
    <row r="45" spans="2:11" ht="15.75" thickBot="1" x14ac:dyDescent="0.3">
      <c r="B45" s="434"/>
      <c r="C45" s="221">
        <v>42</v>
      </c>
      <c r="D45" s="221">
        <v>11</v>
      </c>
      <c r="E45" s="222">
        <v>15</v>
      </c>
      <c r="F45" s="423"/>
      <c r="G45" s="424"/>
      <c r="H45" s="425"/>
      <c r="I45" s="426"/>
      <c r="J45" s="424"/>
      <c r="K45" s="425"/>
    </row>
    <row r="46" spans="2:11" ht="15.75" thickBot="1" x14ac:dyDescent="0.3">
      <c r="B46" s="481" t="s">
        <v>309</v>
      </c>
      <c r="C46" s="259">
        <v>1100</v>
      </c>
      <c r="D46" s="259">
        <v>108</v>
      </c>
      <c r="E46" s="260">
        <v>144</v>
      </c>
      <c r="F46" s="428">
        <f>+SUM(C46:C47)</f>
        <v>1438</v>
      </c>
      <c r="G46" s="429">
        <f>+SUM(D46:D47)</f>
        <v>142</v>
      </c>
      <c r="H46" s="427">
        <f>+SUM(E46:E47)</f>
        <v>182</v>
      </c>
      <c r="I46" s="435">
        <f>+AVERAGE(C46:C47)</f>
        <v>719</v>
      </c>
      <c r="J46" s="429">
        <f>+AVERAGE(D46:D47)</f>
        <v>71</v>
      </c>
      <c r="K46" s="427">
        <f>+AVERAGE(E46:E47)</f>
        <v>91</v>
      </c>
    </row>
    <row r="47" spans="2:11" ht="15.75" thickBot="1" x14ac:dyDescent="0.3">
      <c r="B47" s="483"/>
      <c r="C47" s="259">
        <v>338</v>
      </c>
      <c r="D47" s="259">
        <v>34</v>
      </c>
      <c r="E47" s="260">
        <v>38</v>
      </c>
      <c r="F47" s="428"/>
      <c r="G47" s="429"/>
      <c r="H47" s="427"/>
      <c r="I47" s="435"/>
      <c r="J47" s="429"/>
      <c r="K47" s="427"/>
    </row>
    <row r="48" spans="2:11" ht="15.75" thickBot="1" x14ac:dyDescent="0.3">
      <c r="B48" s="225" t="s">
        <v>391</v>
      </c>
      <c r="C48" s="221">
        <v>338</v>
      </c>
      <c r="D48" s="221">
        <v>102</v>
      </c>
      <c r="E48" s="222">
        <v>86</v>
      </c>
      <c r="F48" s="226">
        <v>338</v>
      </c>
      <c r="G48" s="227">
        <v>102</v>
      </c>
      <c r="H48" s="228">
        <v>86</v>
      </c>
      <c r="I48" s="270">
        <v>338</v>
      </c>
      <c r="J48" s="227">
        <v>102</v>
      </c>
      <c r="K48" s="228">
        <v>86</v>
      </c>
    </row>
    <row r="49" spans="2:11" ht="15.75" thickBot="1" x14ac:dyDescent="0.3">
      <c r="B49" s="481" t="s">
        <v>258</v>
      </c>
      <c r="C49" s="259">
        <v>110</v>
      </c>
      <c r="D49" s="259">
        <v>39</v>
      </c>
      <c r="E49" s="260">
        <v>13</v>
      </c>
      <c r="F49" s="428">
        <f>+SUM(C49:C54)</f>
        <v>12230</v>
      </c>
      <c r="G49" s="429">
        <f>+SUM(D49:D54)</f>
        <v>465</v>
      </c>
      <c r="H49" s="427">
        <f>+SUM(E49:E54)</f>
        <v>352</v>
      </c>
      <c r="I49" s="435">
        <f>+AVERAGE(C49:C53)</f>
        <v>246</v>
      </c>
      <c r="J49" s="429">
        <f>+AVERAGE(D49:D53)</f>
        <v>26.4</v>
      </c>
      <c r="K49" s="427">
        <f>+AVERAGE(E49:E53)</f>
        <v>48.8</v>
      </c>
    </row>
    <row r="50" spans="2:11" ht="15.75" thickBot="1" x14ac:dyDescent="0.3">
      <c r="B50" s="482"/>
      <c r="C50" s="259">
        <v>288</v>
      </c>
      <c r="D50" s="259">
        <v>29</v>
      </c>
      <c r="E50" s="260">
        <v>127</v>
      </c>
      <c r="F50" s="428"/>
      <c r="G50" s="429"/>
      <c r="H50" s="427"/>
      <c r="I50" s="435"/>
      <c r="J50" s="429"/>
      <c r="K50" s="427"/>
    </row>
    <row r="51" spans="2:11" ht="15.75" thickBot="1" x14ac:dyDescent="0.3">
      <c r="B51" s="482"/>
      <c r="C51" s="259">
        <v>140</v>
      </c>
      <c r="D51" s="259">
        <v>19</v>
      </c>
      <c r="E51" s="260">
        <v>18</v>
      </c>
      <c r="F51" s="428"/>
      <c r="G51" s="429"/>
      <c r="H51" s="427"/>
      <c r="I51" s="435"/>
      <c r="J51" s="429"/>
      <c r="K51" s="427"/>
    </row>
    <row r="52" spans="2:11" ht="15.75" thickBot="1" x14ac:dyDescent="0.3">
      <c r="B52" s="482"/>
      <c r="C52" s="259">
        <v>305</v>
      </c>
      <c r="D52" s="259">
        <v>23</v>
      </c>
      <c r="E52" s="260">
        <v>34</v>
      </c>
      <c r="F52" s="428"/>
      <c r="G52" s="429"/>
      <c r="H52" s="427"/>
      <c r="I52" s="435"/>
      <c r="J52" s="429"/>
      <c r="K52" s="427"/>
    </row>
    <row r="53" spans="2:11" ht="15.75" thickBot="1" x14ac:dyDescent="0.3">
      <c r="B53" s="483"/>
      <c r="C53" s="259">
        <v>387</v>
      </c>
      <c r="D53" s="259">
        <v>22</v>
      </c>
      <c r="E53" s="260">
        <v>52</v>
      </c>
      <c r="F53" s="428"/>
      <c r="G53" s="429"/>
      <c r="H53" s="427"/>
      <c r="I53" s="435"/>
      <c r="J53" s="429"/>
      <c r="K53" s="427"/>
    </row>
    <row r="54" spans="2:11" ht="15.75" thickBot="1" x14ac:dyDescent="0.3">
      <c r="B54" s="432" t="s">
        <v>259</v>
      </c>
      <c r="C54" s="221">
        <v>11000</v>
      </c>
      <c r="D54" s="221">
        <v>333</v>
      </c>
      <c r="E54" s="222">
        <v>108</v>
      </c>
      <c r="F54" s="423">
        <f>+SUM(C54:C55)</f>
        <v>12300</v>
      </c>
      <c r="G54" s="424">
        <f>+SUM(D54:D55)</f>
        <v>447</v>
      </c>
      <c r="H54" s="425">
        <f>+SUM(E54:E55)</f>
        <v>286</v>
      </c>
      <c r="I54" s="426">
        <f>+AVERAGE(C54:C55)</f>
        <v>6150</v>
      </c>
      <c r="J54" s="424">
        <f>+AVERAGE(D54:D55)</f>
        <v>223.5</v>
      </c>
      <c r="K54" s="425">
        <f>+AVERAGE(E54:E55)</f>
        <v>143</v>
      </c>
    </row>
    <row r="55" spans="2:11" ht="15.75" thickBot="1" x14ac:dyDescent="0.3">
      <c r="B55" s="434"/>
      <c r="C55" s="221">
        <v>1300</v>
      </c>
      <c r="D55" s="221">
        <v>114</v>
      </c>
      <c r="E55" s="222">
        <v>178</v>
      </c>
      <c r="F55" s="423"/>
      <c r="G55" s="424"/>
      <c r="H55" s="425"/>
      <c r="I55" s="426"/>
      <c r="J55" s="424"/>
      <c r="K55" s="425"/>
    </row>
    <row r="56" spans="2:11" ht="15.75" thickBot="1" x14ac:dyDescent="0.3">
      <c r="B56" s="481" t="s">
        <v>254</v>
      </c>
      <c r="C56" s="259">
        <v>305</v>
      </c>
      <c r="D56" s="259">
        <v>84</v>
      </c>
      <c r="E56" s="260">
        <v>24</v>
      </c>
      <c r="F56" s="428">
        <f>+SUM(C56:C60)</f>
        <v>4082</v>
      </c>
      <c r="G56" s="429">
        <f>+SUM(D56:D60)</f>
        <v>859</v>
      </c>
      <c r="H56" s="427">
        <f>+SUM(E56:E60)</f>
        <v>678</v>
      </c>
      <c r="I56" s="435">
        <f>+AVERAGE(C56:C60)</f>
        <v>816.4</v>
      </c>
      <c r="J56" s="429">
        <f>+AVERAGE(D56:D60)</f>
        <v>171.8</v>
      </c>
      <c r="K56" s="427">
        <f>+AVERAGE(E56:E60)</f>
        <v>135.6</v>
      </c>
    </row>
    <row r="57" spans="2:11" ht="15.75" thickBot="1" x14ac:dyDescent="0.3">
      <c r="B57" s="482"/>
      <c r="C57" s="259">
        <v>527</v>
      </c>
      <c r="D57" s="259">
        <v>141</v>
      </c>
      <c r="E57" s="260">
        <v>132</v>
      </c>
      <c r="F57" s="428"/>
      <c r="G57" s="429"/>
      <c r="H57" s="427"/>
      <c r="I57" s="435"/>
      <c r="J57" s="429"/>
      <c r="K57" s="427"/>
    </row>
    <row r="58" spans="2:11" ht="15.75" thickBot="1" x14ac:dyDescent="0.3">
      <c r="B58" s="482"/>
      <c r="C58" s="266">
        <v>807</v>
      </c>
      <c r="D58" s="266">
        <v>217</v>
      </c>
      <c r="E58" s="267">
        <v>123</v>
      </c>
      <c r="F58" s="428"/>
      <c r="G58" s="429"/>
      <c r="H58" s="427"/>
      <c r="I58" s="435"/>
      <c r="J58" s="429"/>
      <c r="K58" s="427"/>
    </row>
    <row r="59" spans="2:11" ht="15.75" thickBot="1" x14ac:dyDescent="0.3">
      <c r="B59" s="482"/>
      <c r="C59" s="259">
        <v>2100</v>
      </c>
      <c r="D59" s="259">
        <v>342</v>
      </c>
      <c r="E59" s="260">
        <v>340</v>
      </c>
      <c r="F59" s="428"/>
      <c r="G59" s="429"/>
      <c r="H59" s="427"/>
      <c r="I59" s="435"/>
      <c r="J59" s="429"/>
      <c r="K59" s="427"/>
    </row>
    <row r="60" spans="2:11" ht="15.75" thickBot="1" x14ac:dyDescent="0.3">
      <c r="B60" s="483"/>
      <c r="C60" s="259">
        <v>343</v>
      </c>
      <c r="D60" s="259">
        <v>75</v>
      </c>
      <c r="E60" s="260">
        <v>59</v>
      </c>
      <c r="F60" s="428"/>
      <c r="G60" s="429"/>
      <c r="H60" s="427"/>
      <c r="I60" s="435"/>
      <c r="J60" s="429"/>
      <c r="K60" s="427"/>
    </row>
    <row r="61" spans="2:11" ht="15.75" thickBot="1" x14ac:dyDescent="0.3">
      <c r="B61" s="432" t="s">
        <v>287</v>
      </c>
      <c r="C61" s="221">
        <v>6100</v>
      </c>
      <c r="D61" s="221">
        <v>385</v>
      </c>
      <c r="E61" s="222">
        <v>737</v>
      </c>
      <c r="F61" s="423">
        <f>+SUM(C61:C72)</f>
        <v>18817</v>
      </c>
      <c r="G61" s="424">
        <f>+SUM(D61:D72)</f>
        <v>1560</v>
      </c>
      <c r="H61" s="425">
        <f>+SUM(E61:E72)</f>
        <v>2971</v>
      </c>
      <c r="I61" s="426">
        <f>+AVERAGE(C61:C72)</f>
        <v>1568.0833333333333</v>
      </c>
      <c r="J61" s="424">
        <f>+AVERAGE(D61:D72)</f>
        <v>130</v>
      </c>
      <c r="K61" s="425">
        <f>+AVERAGE(E61:E72)</f>
        <v>247.58333333333334</v>
      </c>
    </row>
    <row r="62" spans="2:11" ht="15.75" thickBot="1" x14ac:dyDescent="0.3">
      <c r="B62" s="433"/>
      <c r="C62" s="221">
        <v>895</v>
      </c>
      <c r="D62" s="221">
        <v>86</v>
      </c>
      <c r="E62" s="222">
        <v>300</v>
      </c>
      <c r="F62" s="423"/>
      <c r="G62" s="424"/>
      <c r="H62" s="425"/>
      <c r="I62" s="426"/>
      <c r="J62" s="424"/>
      <c r="K62" s="425"/>
    </row>
    <row r="63" spans="2:11" ht="15.75" thickBot="1" x14ac:dyDescent="0.3">
      <c r="B63" s="433"/>
      <c r="C63" s="221">
        <v>4100</v>
      </c>
      <c r="D63" s="221">
        <v>165</v>
      </c>
      <c r="E63" s="222">
        <v>629</v>
      </c>
      <c r="F63" s="423"/>
      <c r="G63" s="424"/>
      <c r="H63" s="425"/>
      <c r="I63" s="426"/>
      <c r="J63" s="424"/>
      <c r="K63" s="425"/>
    </row>
    <row r="64" spans="2:11" ht="15.75" thickBot="1" x14ac:dyDescent="0.3">
      <c r="B64" s="433"/>
      <c r="C64" s="221">
        <v>3000</v>
      </c>
      <c r="D64" s="221">
        <v>205</v>
      </c>
      <c r="E64" s="222">
        <v>403</v>
      </c>
      <c r="F64" s="423"/>
      <c r="G64" s="424"/>
      <c r="H64" s="425"/>
      <c r="I64" s="426"/>
      <c r="J64" s="424"/>
      <c r="K64" s="425"/>
    </row>
    <row r="65" spans="1:34" ht="15.75" thickBot="1" x14ac:dyDescent="0.3">
      <c r="B65" s="433"/>
      <c r="C65" s="221">
        <v>568</v>
      </c>
      <c r="D65" s="221">
        <v>110</v>
      </c>
      <c r="E65" s="222">
        <v>90</v>
      </c>
      <c r="F65" s="423"/>
      <c r="G65" s="424"/>
      <c r="H65" s="425"/>
      <c r="I65" s="426"/>
      <c r="J65" s="424"/>
      <c r="K65" s="425"/>
    </row>
    <row r="66" spans="1:34" ht="15.75" thickBot="1" x14ac:dyDescent="0.3">
      <c r="B66" s="433"/>
      <c r="C66" s="221">
        <v>552</v>
      </c>
      <c r="D66" s="221">
        <v>72</v>
      </c>
      <c r="E66" s="222">
        <v>69</v>
      </c>
      <c r="F66" s="423"/>
      <c r="G66" s="424"/>
      <c r="H66" s="425"/>
      <c r="I66" s="426"/>
      <c r="J66" s="424"/>
      <c r="K66" s="425"/>
    </row>
    <row r="67" spans="1:34" ht="15.75" thickBot="1" x14ac:dyDescent="0.3">
      <c r="B67" s="433"/>
      <c r="C67" s="221">
        <v>314</v>
      </c>
      <c r="D67" s="221">
        <v>60</v>
      </c>
      <c r="E67" s="222">
        <v>55</v>
      </c>
      <c r="F67" s="423"/>
      <c r="G67" s="424"/>
      <c r="H67" s="425"/>
      <c r="I67" s="426"/>
      <c r="J67" s="424"/>
      <c r="K67" s="425"/>
    </row>
    <row r="68" spans="1:34" ht="15.75" thickBot="1" x14ac:dyDescent="0.3">
      <c r="B68" s="433"/>
      <c r="C68" s="221">
        <v>443</v>
      </c>
      <c r="D68" s="221">
        <v>81</v>
      </c>
      <c r="E68" s="222">
        <v>140</v>
      </c>
      <c r="F68" s="423"/>
      <c r="G68" s="424"/>
      <c r="H68" s="425"/>
      <c r="I68" s="426"/>
      <c r="J68" s="424"/>
      <c r="K68" s="425"/>
    </row>
    <row r="69" spans="1:34" ht="15.75" thickBot="1" x14ac:dyDescent="0.3">
      <c r="B69" s="433"/>
      <c r="C69" s="221">
        <v>1300</v>
      </c>
      <c r="D69" s="221">
        <v>164</v>
      </c>
      <c r="E69" s="222">
        <v>254</v>
      </c>
      <c r="F69" s="423"/>
      <c r="G69" s="424"/>
      <c r="H69" s="425"/>
      <c r="I69" s="426"/>
      <c r="J69" s="424"/>
      <c r="K69" s="425"/>
    </row>
    <row r="70" spans="1:34" ht="15.75" thickBot="1" x14ac:dyDescent="0.3">
      <c r="B70" s="433"/>
      <c r="C70" s="221">
        <v>272</v>
      </c>
      <c r="D70" s="221">
        <v>77</v>
      </c>
      <c r="E70" s="222">
        <v>60</v>
      </c>
      <c r="F70" s="423"/>
      <c r="G70" s="424"/>
      <c r="H70" s="425"/>
      <c r="I70" s="426"/>
      <c r="J70" s="424"/>
      <c r="K70" s="425"/>
    </row>
    <row r="71" spans="1:34" ht="15.75" thickBot="1" x14ac:dyDescent="0.3">
      <c r="B71" s="433"/>
      <c r="C71" s="221">
        <v>928</v>
      </c>
      <c r="D71" s="221">
        <v>113</v>
      </c>
      <c r="E71" s="222">
        <v>166</v>
      </c>
      <c r="F71" s="423"/>
      <c r="G71" s="424"/>
      <c r="H71" s="425"/>
      <c r="I71" s="426"/>
      <c r="J71" s="424"/>
      <c r="K71" s="425"/>
    </row>
    <row r="72" spans="1:34" ht="15.75" thickBot="1" x14ac:dyDescent="0.3">
      <c r="B72" s="484"/>
      <c r="C72" s="268">
        <v>345</v>
      </c>
      <c r="D72" s="268">
        <v>42</v>
      </c>
      <c r="E72" s="269">
        <v>68</v>
      </c>
      <c r="F72" s="480"/>
      <c r="G72" s="437"/>
      <c r="H72" s="438"/>
      <c r="I72" s="436"/>
      <c r="J72" s="437"/>
      <c r="K72" s="438"/>
    </row>
    <row r="73" spans="1:34" x14ac:dyDescent="0.25">
      <c r="A73" s="7"/>
      <c r="B73" s="11"/>
      <c r="C73" s="7"/>
      <c r="D73" s="7"/>
      <c r="E73" s="7"/>
      <c r="F73" s="11"/>
      <c r="G73" s="11"/>
      <c r="H73" s="11"/>
      <c r="I73" s="11"/>
      <c r="J73" s="11"/>
      <c r="K73" s="11"/>
    </row>
    <row r="74" spans="1:34" x14ac:dyDescent="0.25">
      <c r="A74" s="13"/>
      <c r="B74" s="14"/>
      <c r="C74" s="13"/>
      <c r="D74" s="13"/>
      <c r="E74" s="13"/>
      <c r="F74" s="14"/>
      <c r="G74" s="14"/>
      <c r="H74" s="14"/>
      <c r="I74" s="14"/>
      <c r="J74" s="14"/>
      <c r="K74" s="14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</row>
    <row r="75" spans="1:34" ht="15.75" thickBot="1" x14ac:dyDescent="0.3">
      <c r="A75" s="7"/>
      <c r="B75" s="11"/>
      <c r="C75" s="7"/>
      <c r="D75" s="7"/>
      <c r="E75" s="7"/>
      <c r="F75" s="11"/>
      <c r="G75" s="11"/>
      <c r="H75" s="11"/>
      <c r="I75" s="11"/>
      <c r="J75" s="11"/>
      <c r="K75" s="11"/>
    </row>
    <row r="76" spans="1:34" ht="27" thickBot="1" x14ac:dyDescent="0.3">
      <c r="B76" s="439" t="s">
        <v>393</v>
      </c>
      <c r="C76" s="440"/>
      <c r="D76" s="440"/>
      <c r="E76" s="440"/>
      <c r="F76" s="440"/>
      <c r="G76" s="440"/>
      <c r="H76" s="440"/>
      <c r="I76" s="440"/>
      <c r="J76" s="440"/>
      <c r="K76" s="441"/>
    </row>
    <row r="77" spans="1:34" ht="21.75" thickBot="1" x14ac:dyDescent="0.4">
      <c r="B77" s="397" t="s">
        <v>396</v>
      </c>
      <c r="C77" s="398"/>
      <c r="D77" s="398"/>
      <c r="E77" s="398"/>
      <c r="F77" s="398"/>
      <c r="G77" s="398"/>
      <c r="H77" s="398"/>
      <c r="I77" s="398"/>
      <c r="J77" s="398"/>
      <c r="K77" s="399"/>
    </row>
    <row r="78" spans="1:34" ht="15.75" thickBot="1" x14ac:dyDescent="0.3">
      <c r="A78" s="7"/>
      <c r="B78" s="11"/>
      <c r="C78" s="7"/>
      <c r="D78" s="7"/>
      <c r="E78" s="7"/>
      <c r="F78" s="11"/>
      <c r="G78" s="11"/>
      <c r="H78" s="11"/>
      <c r="I78" s="11"/>
      <c r="J78" s="11"/>
      <c r="K78" s="11"/>
    </row>
    <row r="79" spans="1:34" ht="19.5" thickBot="1" x14ac:dyDescent="0.3">
      <c r="A79" s="7"/>
      <c r="B79" s="177"/>
      <c r="C79" s="178"/>
      <c r="D79" s="178"/>
      <c r="E79" s="178"/>
      <c r="F79" s="421" t="s">
        <v>389</v>
      </c>
      <c r="G79" s="421"/>
      <c r="H79" s="421"/>
      <c r="I79" s="421" t="s">
        <v>390</v>
      </c>
      <c r="J79" s="421"/>
      <c r="K79" s="422"/>
    </row>
    <row r="80" spans="1:34" ht="18.75" x14ac:dyDescent="0.25">
      <c r="B80" s="180" t="s">
        <v>253</v>
      </c>
      <c r="C80" s="179" t="s">
        <v>473</v>
      </c>
      <c r="D80" s="179" t="s">
        <v>267</v>
      </c>
      <c r="E80" s="179" t="s">
        <v>268</v>
      </c>
      <c r="F80" s="179" t="s">
        <v>473</v>
      </c>
      <c r="G80" s="179" t="s">
        <v>267</v>
      </c>
      <c r="H80" s="179" t="s">
        <v>268</v>
      </c>
      <c r="I80" s="179" t="s">
        <v>473</v>
      </c>
      <c r="J80" s="179" t="s">
        <v>267</v>
      </c>
      <c r="K80" s="181" t="s">
        <v>268</v>
      </c>
      <c r="N80" s="208" t="str">
        <f>B80</f>
        <v>Tema</v>
      </c>
      <c r="O80" s="209" t="str">
        <f t="shared" ref="O80:Q81" si="4">I80</f>
        <v>Gostos</v>
      </c>
      <c r="P80" s="209" t="str">
        <f t="shared" si="4"/>
        <v>Comentários</v>
      </c>
      <c r="Q80" s="210" t="str">
        <f t="shared" si="4"/>
        <v>Partilhas</v>
      </c>
    </row>
    <row r="81" spans="2:17" ht="15.75" thickBot="1" x14ac:dyDescent="0.3">
      <c r="B81" s="471" t="s">
        <v>257</v>
      </c>
      <c r="C81" s="250">
        <v>347</v>
      </c>
      <c r="D81" s="250">
        <v>51</v>
      </c>
      <c r="E81" s="251">
        <v>50</v>
      </c>
      <c r="F81" s="479">
        <f>+SUM(C81:C91)</f>
        <v>4055</v>
      </c>
      <c r="G81" s="478">
        <f>+SUM(D81:D91)</f>
        <v>385</v>
      </c>
      <c r="H81" s="477">
        <f>+SUM(E81:E91)</f>
        <v>658</v>
      </c>
      <c r="I81" s="479">
        <f>+AVERAGE(C81:C91)</f>
        <v>368.63636363636363</v>
      </c>
      <c r="J81" s="478">
        <f>+AVERAGE(D81:D91)</f>
        <v>35</v>
      </c>
      <c r="K81" s="477">
        <f>+AVERAGE(E81:E91)</f>
        <v>59.81818181818182</v>
      </c>
      <c r="N81" s="78" t="str">
        <f>B81</f>
        <v>Ambiente</v>
      </c>
      <c r="O81" s="98">
        <f t="shared" si="4"/>
        <v>368.63636363636363</v>
      </c>
      <c r="P81" s="109">
        <f t="shared" si="4"/>
        <v>35</v>
      </c>
      <c r="Q81" s="99">
        <f t="shared" si="4"/>
        <v>59.81818181818182</v>
      </c>
    </row>
    <row r="82" spans="2:17" ht="15.75" thickBot="1" x14ac:dyDescent="0.3">
      <c r="B82" s="471"/>
      <c r="C82" s="230">
        <v>289</v>
      </c>
      <c r="D82" s="230">
        <v>43</v>
      </c>
      <c r="E82" s="231">
        <v>62</v>
      </c>
      <c r="F82" s="428"/>
      <c r="G82" s="429"/>
      <c r="H82" s="427"/>
      <c r="I82" s="428"/>
      <c r="J82" s="429"/>
      <c r="K82" s="427"/>
      <c r="N82" s="26" t="str">
        <f>B92</f>
        <v>Atividades PE</v>
      </c>
      <c r="O82" s="100">
        <f>I92</f>
        <v>446.4</v>
      </c>
      <c r="P82" s="100">
        <f>J92</f>
        <v>63.8</v>
      </c>
      <c r="Q82" s="101">
        <f>K92</f>
        <v>49.4</v>
      </c>
    </row>
    <row r="83" spans="2:17" ht="15.75" thickBot="1" x14ac:dyDescent="0.3">
      <c r="B83" s="471"/>
      <c r="C83" s="230">
        <v>445</v>
      </c>
      <c r="D83" s="230">
        <v>55</v>
      </c>
      <c r="E83" s="231">
        <v>63</v>
      </c>
      <c r="F83" s="428"/>
      <c r="G83" s="429"/>
      <c r="H83" s="427"/>
      <c r="I83" s="428"/>
      <c r="J83" s="429"/>
      <c r="K83" s="427"/>
      <c r="N83" s="78" t="str">
        <f>B97</f>
        <v>D&amp;C</v>
      </c>
      <c r="O83" s="98">
        <f>I97</f>
        <v>666.5</v>
      </c>
      <c r="P83" s="98">
        <f>J97</f>
        <v>51.5</v>
      </c>
      <c r="Q83" s="99">
        <f>K97</f>
        <v>184.5</v>
      </c>
    </row>
    <row r="84" spans="2:17" ht="15.75" thickBot="1" x14ac:dyDescent="0.3">
      <c r="B84" s="471"/>
      <c r="C84" s="230">
        <v>928</v>
      </c>
      <c r="D84" s="230">
        <v>55</v>
      </c>
      <c r="E84" s="231">
        <v>88</v>
      </c>
      <c r="F84" s="428"/>
      <c r="G84" s="429"/>
      <c r="H84" s="427"/>
      <c r="I84" s="428"/>
      <c r="J84" s="429"/>
      <c r="K84" s="427"/>
      <c r="N84" s="26" t="str">
        <f>B99</f>
        <v>DH</v>
      </c>
      <c r="O84" s="100">
        <f>I99</f>
        <v>1385.6666666666667</v>
      </c>
      <c r="P84" s="100">
        <f>J99</f>
        <v>65</v>
      </c>
      <c r="Q84" s="101">
        <f>K99</f>
        <v>723</v>
      </c>
    </row>
    <row r="85" spans="2:17" ht="15.75" thickBot="1" x14ac:dyDescent="0.3">
      <c r="B85" s="471"/>
      <c r="C85" s="230">
        <v>227</v>
      </c>
      <c r="D85" s="230">
        <v>36</v>
      </c>
      <c r="E85" s="231">
        <v>82</v>
      </c>
      <c r="F85" s="428"/>
      <c r="G85" s="429"/>
      <c r="H85" s="427"/>
      <c r="I85" s="428"/>
      <c r="J85" s="429"/>
      <c r="K85" s="427"/>
      <c r="N85" s="78" t="str">
        <f>B102</f>
        <v>Economia</v>
      </c>
      <c r="O85" s="229">
        <f t="shared" ref="O85:Q86" si="5">I102</f>
        <v>875</v>
      </c>
      <c r="P85" s="98">
        <f t="shared" si="5"/>
        <v>28</v>
      </c>
      <c r="Q85" s="99">
        <f t="shared" si="5"/>
        <v>127</v>
      </c>
    </row>
    <row r="86" spans="2:17" ht="15.75" thickBot="1" x14ac:dyDescent="0.3">
      <c r="B86" s="471"/>
      <c r="C86" s="230">
        <v>41</v>
      </c>
      <c r="D86" s="230">
        <v>15</v>
      </c>
      <c r="E86" s="231">
        <v>7</v>
      </c>
      <c r="F86" s="428"/>
      <c r="G86" s="429"/>
      <c r="H86" s="427"/>
      <c r="I86" s="428"/>
      <c r="J86" s="429"/>
      <c r="K86" s="427"/>
      <c r="N86" s="26" t="str">
        <f>B103</f>
        <v>Efemérides</v>
      </c>
      <c r="O86" s="100">
        <f t="shared" si="5"/>
        <v>2057.125</v>
      </c>
      <c r="P86" s="100">
        <f t="shared" si="5"/>
        <v>92.75</v>
      </c>
      <c r="Q86" s="101">
        <f t="shared" si="5"/>
        <v>195.375</v>
      </c>
    </row>
    <row r="87" spans="2:17" ht="15.75" thickBot="1" x14ac:dyDescent="0.3">
      <c r="B87" s="471"/>
      <c r="C87" s="230">
        <v>116</v>
      </c>
      <c r="D87" s="230">
        <v>13</v>
      </c>
      <c r="E87" s="231">
        <v>12</v>
      </c>
      <c r="F87" s="428"/>
      <c r="G87" s="429"/>
      <c r="H87" s="427"/>
      <c r="I87" s="428"/>
      <c r="J87" s="429"/>
      <c r="K87" s="427"/>
      <c r="N87" s="78" t="str">
        <f>B111</f>
        <v>Faits-Divers</v>
      </c>
      <c r="O87" s="98">
        <f>I111</f>
        <v>1833.3333333333333</v>
      </c>
      <c r="P87" s="98">
        <f>J111</f>
        <v>78</v>
      </c>
      <c r="Q87" s="99">
        <f>K111</f>
        <v>188.66666666666666</v>
      </c>
    </row>
    <row r="88" spans="2:17" ht="15.75" thickBot="1" x14ac:dyDescent="0.3">
      <c r="B88" s="471"/>
      <c r="C88" s="230">
        <v>680</v>
      </c>
      <c r="D88" s="230">
        <v>39</v>
      </c>
      <c r="E88" s="231">
        <v>73</v>
      </c>
      <c r="F88" s="428"/>
      <c r="G88" s="429"/>
      <c r="H88" s="427"/>
      <c r="I88" s="428"/>
      <c r="J88" s="429"/>
      <c r="K88" s="427"/>
      <c r="N88" s="26" t="str">
        <f>B114</f>
        <v>Informações Úteis</v>
      </c>
      <c r="O88" s="100">
        <f>I114</f>
        <v>535.33333333333337</v>
      </c>
      <c r="P88" s="100">
        <f>J114</f>
        <v>41</v>
      </c>
      <c r="Q88" s="101">
        <f>K114</f>
        <v>88.166666666666671</v>
      </c>
    </row>
    <row r="89" spans="2:17" ht="15.75" thickBot="1" x14ac:dyDescent="0.3">
      <c r="B89" s="471"/>
      <c r="C89" s="230">
        <v>461</v>
      </c>
      <c r="D89" s="230">
        <v>32</v>
      </c>
      <c r="E89" s="231">
        <v>123</v>
      </c>
      <c r="F89" s="428"/>
      <c r="G89" s="429"/>
      <c r="H89" s="427"/>
      <c r="I89" s="428"/>
      <c r="J89" s="429"/>
      <c r="K89" s="427"/>
      <c r="N89" s="78" t="str">
        <f>B120</f>
        <v>Juventude</v>
      </c>
      <c r="O89" s="98">
        <f>I120</f>
        <v>138</v>
      </c>
      <c r="P89" s="98">
        <f>J120</f>
        <v>18</v>
      </c>
      <c r="Q89" s="99">
        <f>K120</f>
        <v>42</v>
      </c>
    </row>
    <row r="90" spans="2:17" ht="15.75" thickBot="1" x14ac:dyDescent="0.3">
      <c r="B90" s="471"/>
      <c r="C90" s="230">
        <v>318</v>
      </c>
      <c r="D90" s="230">
        <v>21</v>
      </c>
      <c r="E90" s="231">
        <v>75</v>
      </c>
      <c r="F90" s="428"/>
      <c r="G90" s="429"/>
      <c r="H90" s="427"/>
      <c r="I90" s="428"/>
      <c r="J90" s="429"/>
      <c r="K90" s="427"/>
      <c r="N90" s="26" t="str">
        <f>B122</f>
        <v>Multiculturalismo</v>
      </c>
      <c r="O90" s="100">
        <f>I122</f>
        <v>388</v>
      </c>
      <c r="P90" s="100">
        <f>J122</f>
        <v>53.5</v>
      </c>
      <c r="Q90" s="101">
        <f>K122</f>
        <v>127.5</v>
      </c>
    </row>
    <row r="91" spans="2:17" ht="15.75" thickBot="1" x14ac:dyDescent="0.3">
      <c r="B91" s="472"/>
      <c r="C91" s="230">
        <v>203</v>
      </c>
      <c r="D91" s="230">
        <v>25</v>
      </c>
      <c r="E91" s="231">
        <v>23</v>
      </c>
      <c r="F91" s="428"/>
      <c r="G91" s="429"/>
      <c r="H91" s="427"/>
      <c r="I91" s="428"/>
      <c r="J91" s="429"/>
      <c r="K91" s="427"/>
      <c r="N91" s="78" t="str">
        <f>B124</f>
        <v>Multilinguismo</v>
      </c>
      <c r="O91" s="98">
        <f>I124</f>
        <v>509</v>
      </c>
      <c r="P91" s="98">
        <f>J124</f>
        <v>81</v>
      </c>
      <c r="Q91" s="99">
        <f>K124</f>
        <v>81.666666666666671</v>
      </c>
    </row>
    <row r="92" spans="2:17" ht="15.75" thickBot="1" x14ac:dyDescent="0.3">
      <c r="B92" s="467" t="s">
        <v>256</v>
      </c>
      <c r="C92" s="242">
        <v>691</v>
      </c>
      <c r="D92" s="242">
        <v>52</v>
      </c>
      <c r="E92" s="243">
        <v>41</v>
      </c>
      <c r="F92" s="423">
        <f>+SUM(C92:C96)</f>
        <v>2232</v>
      </c>
      <c r="G92" s="424">
        <f>+SUM(D92:D96)</f>
        <v>319</v>
      </c>
      <c r="H92" s="425">
        <f>+SUM(E92:E96)</f>
        <v>247</v>
      </c>
      <c r="I92" s="423">
        <f>+AVERAGE(C92:C96)</f>
        <v>446.4</v>
      </c>
      <c r="J92" s="424">
        <f>+AVERAGE(D92:D96)</f>
        <v>63.8</v>
      </c>
      <c r="K92" s="425">
        <f>+AVERAGE(E92:E96)</f>
        <v>49.4</v>
      </c>
      <c r="N92" s="26" t="str">
        <f>B127</f>
        <v>Passatempos</v>
      </c>
      <c r="O92" s="100">
        <f>I127</f>
        <v>467.66666666666669</v>
      </c>
      <c r="P92" s="100">
        <f>J127</f>
        <v>80</v>
      </c>
      <c r="Q92" s="101">
        <f>K127</f>
        <v>85.333333333333329</v>
      </c>
    </row>
    <row r="93" spans="2:17" ht="15.75" thickBot="1" x14ac:dyDescent="0.3">
      <c r="B93" s="468"/>
      <c r="C93" s="242">
        <v>428</v>
      </c>
      <c r="D93" s="242">
        <v>35</v>
      </c>
      <c r="E93" s="243">
        <v>60</v>
      </c>
      <c r="F93" s="423"/>
      <c r="G93" s="424"/>
      <c r="H93" s="425"/>
      <c r="I93" s="423"/>
      <c r="J93" s="424"/>
      <c r="K93" s="425"/>
      <c r="N93" s="121" t="str">
        <f>B130</f>
        <v>Presidência Holandesa</v>
      </c>
      <c r="O93" s="98">
        <f t="shared" ref="O93:Q94" si="6">I130</f>
        <v>91</v>
      </c>
      <c r="P93" s="98">
        <f t="shared" si="6"/>
        <v>34</v>
      </c>
      <c r="Q93" s="99">
        <f t="shared" si="6"/>
        <v>8</v>
      </c>
    </row>
    <row r="94" spans="2:17" ht="15.75" thickBot="1" x14ac:dyDescent="0.3">
      <c r="B94" s="468"/>
      <c r="C94" s="242">
        <v>624</v>
      </c>
      <c r="D94" s="242">
        <v>36</v>
      </c>
      <c r="E94" s="243">
        <v>67</v>
      </c>
      <c r="F94" s="423"/>
      <c r="G94" s="424"/>
      <c r="H94" s="425"/>
      <c r="I94" s="423"/>
      <c r="J94" s="424"/>
      <c r="K94" s="425"/>
      <c r="N94" s="26" t="str">
        <f>B131</f>
        <v>Presidente PE</v>
      </c>
      <c r="O94" s="100">
        <f t="shared" si="6"/>
        <v>319</v>
      </c>
      <c r="P94" s="100">
        <f t="shared" si="6"/>
        <v>56.5</v>
      </c>
      <c r="Q94" s="101">
        <f t="shared" si="6"/>
        <v>31.5</v>
      </c>
    </row>
    <row r="95" spans="2:17" ht="15.75" thickBot="1" x14ac:dyDescent="0.3">
      <c r="B95" s="468"/>
      <c r="C95" s="242">
        <v>234</v>
      </c>
      <c r="D95" s="242">
        <v>114</v>
      </c>
      <c r="E95" s="243">
        <v>28</v>
      </c>
      <c r="F95" s="423"/>
      <c r="G95" s="424"/>
      <c r="H95" s="425"/>
      <c r="I95" s="423"/>
      <c r="J95" s="424"/>
      <c r="K95" s="425"/>
      <c r="N95" s="78" t="str">
        <f>B133</f>
        <v>Raif Badawi</v>
      </c>
      <c r="O95" s="98">
        <f>I133</f>
        <v>1274</v>
      </c>
      <c r="P95" s="98">
        <f>J133</f>
        <v>46.5</v>
      </c>
      <c r="Q95" s="99">
        <f>K133</f>
        <v>513.75</v>
      </c>
    </row>
    <row r="96" spans="2:17" ht="15.75" thickBot="1" x14ac:dyDescent="0.3">
      <c r="B96" s="469"/>
      <c r="C96" s="242">
        <v>255</v>
      </c>
      <c r="D96" s="242">
        <v>82</v>
      </c>
      <c r="E96" s="243">
        <v>51</v>
      </c>
      <c r="F96" s="423"/>
      <c r="G96" s="424"/>
      <c r="H96" s="425"/>
      <c r="I96" s="423"/>
      <c r="J96" s="424"/>
      <c r="K96" s="425"/>
      <c r="N96" s="26" t="str">
        <f>B137</f>
        <v>Redes Sociais</v>
      </c>
      <c r="O96" s="100">
        <f>I137</f>
        <v>701.25</v>
      </c>
      <c r="P96" s="100">
        <f>J137</f>
        <v>41.5</v>
      </c>
      <c r="Q96" s="101">
        <f>K137</f>
        <v>88.5</v>
      </c>
    </row>
    <row r="97" spans="2:17" ht="15.75" thickBot="1" x14ac:dyDescent="0.3">
      <c r="B97" s="476" t="s">
        <v>365</v>
      </c>
      <c r="C97" s="230">
        <v>485</v>
      </c>
      <c r="D97" s="230">
        <v>54</v>
      </c>
      <c r="E97" s="231">
        <v>91</v>
      </c>
      <c r="F97" s="428">
        <f>+SUM(C97:C98)</f>
        <v>1333</v>
      </c>
      <c r="G97" s="429">
        <f>+SUM(D97:D98)</f>
        <v>103</v>
      </c>
      <c r="H97" s="427">
        <f>+SUM(E97:E98)</f>
        <v>369</v>
      </c>
      <c r="I97" s="428">
        <f>+AVERAGE(C97:C98)</f>
        <v>666.5</v>
      </c>
      <c r="J97" s="429">
        <f>+AVERAGE(D97:D98)</f>
        <v>51.5</v>
      </c>
      <c r="K97" s="427">
        <f>+AVERAGE(E97:E98)</f>
        <v>184.5</v>
      </c>
      <c r="N97" s="78" t="str">
        <f>B141</f>
        <v>Refugiados</v>
      </c>
      <c r="O97" s="98">
        <f>I141</f>
        <v>376.5</v>
      </c>
      <c r="P97" s="98">
        <f>J141</f>
        <v>82.5</v>
      </c>
      <c r="Q97" s="99">
        <f>K141</f>
        <v>174.5</v>
      </c>
    </row>
    <row r="98" spans="2:17" ht="15.75" thickBot="1" x14ac:dyDescent="0.3">
      <c r="B98" s="472"/>
      <c r="C98" s="230">
        <v>848</v>
      </c>
      <c r="D98" s="230">
        <v>49</v>
      </c>
      <c r="E98" s="231">
        <v>278</v>
      </c>
      <c r="F98" s="428"/>
      <c r="G98" s="429"/>
      <c r="H98" s="427"/>
      <c r="I98" s="428"/>
      <c r="J98" s="429"/>
      <c r="K98" s="427"/>
      <c r="N98" s="26" t="str">
        <f>B143</f>
        <v>Saúde</v>
      </c>
      <c r="O98" s="100">
        <f t="shared" ref="O98:Q100" si="7">I143</f>
        <v>170</v>
      </c>
      <c r="P98" s="100">
        <f t="shared" si="7"/>
        <v>8</v>
      </c>
      <c r="Q98" s="101">
        <f t="shared" si="7"/>
        <v>95</v>
      </c>
    </row>
    <row r="99" spans="2:17" ht="15.75" thickBot="1" x14ac:dyDescent="0.3">
      <c r="B99" s="473" t="s">
        <v>328</v>
      </c>
      <c r="C99" s="223">
        <v>420</v>
      </c>
      <c r="D99" s="223">
        <v>45</v>
      </c>
      <c r="E99" s="224">
        <v>173</v>
      </c>
      <c r="F99" s="423">
        <f>+SUM(C99:C101)</f>
        <v>4157</v>
      </c>
      <c r="G99" s="424">
        <f>+SUM(D99:D101)</f>
        <v>195</v>
      </c>
      <c r="H99" s="425">
        <f>+SUM(E99:E101)</f>
        <v>2169</v>
      </c>
      <c r="I99" s="423">
        <f>+AVERAGE(C99:C101)</f>
        <v>1385.6666666666667</v>
      </c>
      <c r="J99" s="424">
        <f>+AVERAGE(D99:D101)</f>
        <v>65</v>
      </c>
      <c r="K99" s="425">
        <f>+AVERAGE(E99:E101)</f>
        <v>723</v>
      </c>
      <c r="N99" s="78" t="str">
        <f>B144</f>
        <v>Segurança</v>
      </c>
      <c r="O99" s="98">
        <f t="shared" si="7"/>
        <v>981</v>
      </c>
      <c r="P99" s="98">
        <f t="shared" si="7"/>
        <v>67</v>
      </c>
      <c r="Q99" s="99">
        <f t="shared" si="7"/>
        <v>130</v>
      </c>
    </row>
    <row r="100" spans="2:17" ht="15.75" thickBot="1" x14ac:dyDescent="0.3">
      <c r="B100" s="474"/>
      <c r="C100" s="242">
        <v>3200</v>
      </c>
      <c r="D100" s="242">
        <v>92</v>
      </c>
      <c r="E100" s="243">
        <v>1917</v>
      </c>
      <c r="F100" s="423"/>
      <c r="G100" s="424"/>
      <c r="H100" s="425"/>
      <c r="I100" s="423"/>
      <c r="J100" s="424"/>
      <c r="K100" s="425"/>
      <c r="N100" s="26" t="str">
        <f>B145</f>
        <v>Segurança Online</v>
      </c>
      <c r="O100" s="100">
        <f t="shared" si="7"/>
        <v>399.25</v>
      </c>
      <c r="P100" s="100">
        <f t="shared" si="7"/>
        <v>39.75</v>
      </c>
      <c r="Q100" s="101">
        <f t="shared" si="7"/>
        <v>102.75</v>
      </c>
    </row>
    <row r="101" spans="2:17" ht="15.75" thickBot="1" x14ac:dyDescent="0.3">
      <c r="B101" s="475"/>
      <c r="C101" s="242">
        <v>537</v>
      </c>
      <c r="D101" s="242">
        <v>58</v>
      </c>
      <c r="E101" s="243">
        <v>79</v>
      </c>
      <c r="F101" s="423"/>
      <c r="G101" s="424"/>
      <c r="H101" s="425"/>
      <c r="I101" s="423"/>
      <c r="J101" s="424"/>
      <c r="K101" s="425"/>
      <c r="N101" s="78" t="str">
        <f>B149</f>
        <v>Terrorismo</v>
      </c>
      <c r="O101" s="98">
        <f>I149</f>
        <v>476.33333333333331</v>
      </c>
      <c r="P101" s="98">
        <f>J149</f>
        <v>72.333333333333329</v>
      </c>
      <c r="Q101" s="99">
        <f>K149</f>
        <v>101.66666666666667</v>
      </c>
    </row>
    <row r="102" spans="2:17" ht="15.75" thickBot="1" x14ac:dyDescent="0.3">
      <c r="B102" s="232" t="s">
        <v>295</v>
      </c>
      <c r="C102" s="230">
        <v>875</v>
      </c>
      <c r="D102" s="230">
        <v>28</v>
      </c>
      <c r="E102" s="231">
        <v>127</v>
      </c>
      <c r="F102" s="233">
        <v>875</v>
      </c>
      <c r="G102" s="234">
        <v>28</v>
      </c>
      <c r="H102" s="235">
        <v>127</v>
      </c>
      <c r="I102" s="233">
        <v>875</v>
      </c>
      <c r="J102" s="234">
        <v>28</v>
      </c>
      <c r="K102" s="235">
        <v>127</v>
      </c>
      <c r="N102" s="27" t="str">
        <f>B152</f>
        <v>TTIP</v>
      </c>
      <c r="O102" s="102">
        <f>I152</f>
        <v>807</v>
      </c>
      <c r="P102" s="102">
        <f>J152</f>
        <v>83</v>
      </c>
      <c r="Q102" s="103">
        <f>K152</f>
        <v>167</v>
      </c>
    </row>
    <row r="103" spans="2:17" ht="15.75" thickBot="1" x14ac:dyDescent="0.3">
      <c r="B103" s="467" t="s">
        <v>380</v>
      </c>
      <c r="C103" s="242">
        <v>1000</v>
      </c>
      <c r="D103" s="242">
        <v>77</v>
      </c>
      <c r="E103" s="243">
        <v>204</v>
      </c>
      <c r="F103" s="423">
        <f>+SUM(C103:C110)</f>
        <v>16457</v>
      </c>
      <c r="G103" s="424">
        <f>+SUM(D103:D110)</f>
        <v>742</v>
      </c>
      <c r="H103" s="425">
        <f>+SUM(E103:E110)</f>
        <v>1563</v>
      </c>
      <c r="I103" s="423">
        <f>+AVERAGE(C103:C110)</f>
        <v>2057.125</v>
      </c>
      <c r="J103" s="424">
        <f>+AVERAGE(D103:D110)</f>
        <v>92.75</v>
      </c>
      <c r="K103" s="425">
        <f>+AVERAGE(E103:E110)</f>
        <v>195.375</v>
      </c>
    </row>
    <row r="104" spans="2:17" ht="15.75" thickBot="1" x14ac:dyDescent="0.3">
      <c r="B104" s="468"/>
      <c r="C104" s="242">
        <v>2800</v>
      </c>
      <c r="D104" s="242">
        <v>116</v>
      </c>
      <c r="E104" s="243">
        <v>211</v>
      </c>
      <c r="F104" s="423"/>
      <c r="G104" s="424"/>
      <c r="H104" s="425"/>
      <c r="I104" s="423"/>
      <c r="J104" s="424"/>
      <c r="K104" s="425"/>
    </row>
    <row r="105" spans="2:17" ht="15.75" thickBot="1" x14ac:dyDescent="0.3">
      <c r="B105" s="468"/>
      <c r="C105" s="242">
        <v>592</v>
      </c>
      <c r="D105" s="242">
        <v>36</v>
      </c>
      <c r="E105" s="243">
        <v>106</v>
      </c>
      <c r="F105" s="423"/>
      <c r="G105" s="424"/>
      <c r="H105" s="425"/>
      <c r="I105" s="423"/>
      <c r="J105" s="424"/>
      <c r="K105" s="425"/>
    </row>
    <row r="106" spans="2:17" ht="15.75" thickBot="1" x14ac:dyDescent="0.3">
      <c r="B106" s="468"/>
      <c r="C106" s="242">
        <v>229</v>
      </c>
      <c r="D106" s="242">
        <v>35</v>
      </c>
      <c r="E106" s="243">
        <v>62</v>
      </c>
      <c r="F106" s="423"/>
      <c r="G106" s="424"/>
      <c r="H106" s="425"/>
      <c r="I106" s="423"/>
      <c r="J106" s="424"/>
      <c r="K106" s="425"/>
    </row>
    <row r="107" spans="2:17" ht="15.75" thickBot="1" x14ac:dyDescent="0.3">
      <c r="B107" s="468"/>
      <c r="C107" s="242">
        <v>1800</v>
      </c>
      <c r="D107" s="242">
        <v>54</v>
      </c>
      <c r="E107" s="243">
        <v>56</v>
      </c>
      <c r="F107" s="423"/>
      <c r="G107" s="424"/>
      <c r="H107" s="425"/>
      <c r="I107" s="423"/>
      <c r="J107" s="424"/>
      <c r="K107" s="425"/>
    </row>
    <row r="108" spans="2:17" ht="15.75" thickBot="1" x14ac:dyDescent="0.3">
      <c r="B108" s="468"/>
      <c r="C108" s="242">
        <v>739</v>
      </c>
      <c r="D108" s="242">
        <v>99</v>
      </c>
      <c r="E108" s="243">
        <v>143</v>
      </c>
      <c r="F108" s="423"/>
      <c r="G108" s="424"/>
      <c r="H108" s="425"/>
      <c r="I108" s="423"/>
      <c r="J108" s="424"/>
      <c r="K108" s="425"/>
    </row>
    <row r="109" spans="2:17" ht="15.75" thickBot="1" x14ac:dyDescent="0.3">
      <c r="B109" s="468"/>
      <c r="C109" s="242">
        <v>180</v>
      </c>
      <c r="D109" s="242">
        <v>27</v>
      </c>
      <c r="E109" s="243">
        <v>13</v>
      </c>
      <c r="F109" s="423"/>
      <c r="G109" s="424"/>
      <c r="H109" s="425"/>
      <c r="I109" s="423"/>
      <c r="J109" s="424"/>
      <c r="K109" s="425"/>
    </row>
    <row r="110" spans="2:17" ht="15.75" thickBot="1" x14ac:dyDescent="0.3">
      <c r="B110" s="469"/>
      <c r="C110" s="242">
        <v>9117</v>
      </c>
      <c r="D110" s="242">
        <v>298</v>
      </c>
      <c r="E110" s="243">
        <v>768</v>
      </c>
      <c r="F110" s="423"/>
      <c r="G110" s="424"/>
      <c r="H110" s="425"/>
      <c r="I110" s="423"/>
      <c r="J110" s="424"/>
      <c r="K110" s="425"/>
    </row>
    <row r="111" spans="2:17" ht="15.75" thickBot="1" x14ac:dyDescent="0.3">
      <c r="B111" s="470" t="s">
        <v>478</v>
      </c>
      <c r="C111" s="230">
        <v>1900</v>
      </c>
      <c r="D111" s="230">
        <v>154</v>
      </c>
      <c r="E111" s="231">
        <v>324</v>
      </c>
      <c r="F111" s="428">
        <f>+SUM(C111:C113)</f>
        <v>5500</v>
      </c>
      <c r="G111" s="429">
        <f>+SUM(D111:D113)</f>
        <v>234</v>
      </c>
      <c r="H111" s="427">
        <f>+SUM(E111:E113)</f>
        <v>566</v>
      </c>
      <c r="I111" s="428">
        <f>+AVERAGE(C111:C113)</f>
        <v>1833.3333333333333</v>
      </c>
      <c r="J111" s="429">
        <f>+AVERAGE(D111:D113)</f>
        <v>78</v>
      </c>
      <c r="K111" s="427">
        <f>+AVERAGE(E111:E113)</f>
        <v>188.66666666666666</v>
      </c>
    </row>
    <row r="112" spans="2:17" ht="15.75" thickBot="1" x14ac:dyDescent="0.3">
      <c r="B112" s="471"/>
      <c r="C112" s="230">
        <v>1800</v>
      </c>
      <c r="D112" s="230">
        <v>46</v>
      </c>
      <c r="E112" s="231">
        <v>164</v>
      </c>
      <c r="F112" s="428"/>
      <c r="G112" s="429"/>
      <c r="H112" s="427"/>
      <c r="I112" s="428"/>
      <c r="J112" s="429"/>
      <c r="K112" s="427"/>
    </row>
    <row r="113" spans="2:11" ht="15.75" thickBot="1" x14ac:dyDescent="0.3">
      <c r="B113" s="472"/>
      <c r="C113" s="230">
        <v>1800</v>
      </c>
      <c r="D113" s="230">
        <v>34</v>
      </c>
      <c r="E113" s="231">
        <v>78</v>
      </c>
      <c r="F113" s="428"/>
      <c r="G113" s="429"/>
      <c r="H113" s="427"/>
      <c r="I113" s="428"/>
      <c r="J113" s="429"/>
      <c r="K113" s="427"/>
    </row>
    <row r="114" spans="2:11" ht="15.75" thickBot="1" x14ac:dyDescent="0.3">
      <c r="B114" s="467" t="s">
        <v>285</v>
      </c>
      <c r="C114" s="242">
        <v>430</v>
      </c>
      <c r="D114" s="242">
        <v>64</v>
      </c>
      <c r="E114" s="243">
        <v>84</v>
      </c>
      <c r="F114" s="423">
        <f>+SUM(C114:C119)</f>
        <v>3212</v>
      </c>
      <c r="G114" s="424">
        <f>+SUM(D114:D119)</f>
        <v>246</v>
      </c>
      <c r="H114" s="425">
        <f>+SUM(E114:E119)</f>
        <v>529</v>
      </c>
      <c r="I114" s="423">
        <f>+AVERAGE(C114:C119)</f>
        <v>535.33333333333337</v>
      </c>
      <c r="J114" s="424">
        <f>+AVERAGE(D114:D119)</f>
        <v>41</v>
      </c>
      <c r="K114" s="425">
        <f>+AVERAGE(E114:E119)</f>
        <v>88.166666666666671</v>
      </c>
    </row>
    <row r="115" spans="2:11" ht="15.75" thickBot="1" x14ac:dyDescent="0.3">
      <c r="B115" s="468"/>
      <c r="C115" s="242">
        <v>493</v>
      </c>
      <c r="D115" s="242">
        <v>18</v>
      </c>
      <c r="E115" s="243">
        <v>99</v>
      </c>
      <c r="F115" s="423"/>
      <c r="G115" s="424"/>
      <c r="H115" s="425"/>
      <c r="I115" s="423"/>
      <c r="J115" s="424"/>
      <c r="K115" s="425"/>
    </row>
    <row r="116" spans="2:11" ht="15.75" thickBot="1" x14ac:dyDescent="0.3">
      <c r="B116" s="468"/>
      <c r="C116" s="242">
        <v>463</v>
      </c>
      <c r="D116" s="242">
        <v>30</v>
      </c>
      <c r="E116" s="243">
        <v>1</v>
      </c>
      <c r="F116" s="423"/>
      <c r="G116" s="424"/>
      <c r="H116" s="425"/>
      <c r="I116" s="423"/>
      <c r="J116" s="424"/>
      <c r="K116" s="425"/>
    </row>
    <row r="117" spans="2:11" ht="15.75" thickBot="1" x14ac:dyDescent="0.3">
      <c r="B117" s="468"/>
      <c r="C117" s="242">
        <v>764</v>
      </c>
      <c r="D117" s="242">
        <v>40</v>
      </c>
      <c r="E117" s="243">
        <v>244</v>
      </c>
      <c r="F117" s="423"/>
      <c r="G117" s="424"/>
      <c r="H117" s="425"/>
      <c r="I117" s="423"/>
      <c r="J117" s="424"/>
      <c r="K117" s="425"/>
    </row>
    <row r="118" spans="2:11" ht="15.75" thickBot="1" x14ac:dyDescent="0.3">
      <c r="B118" s="468"/>
      <c r="C118" s="242">
        <v>191</v>
      </c>
      <c r="D118" s="242">
        <v>12</v>
      </c>
      <c r="E118" s="243">
        <v>35</v>
      </c>
      <c r="F118" s="423"/>
      <c r="G118" s="424"/>
      <c r="H118" s="425"/>
      <c r="I118" s="423"/>
      <c r="J118" s="424"/>
      <c r="K118" s="425"/>
    </row>
    <row r="119" spans="2:11" ht="15.75" thickBot="1" x14ac:dyDescent="0.3">
      <c r="B119" s="469"/>
      <c r="C119" s="242">
        <v>871</v>
      </c>
      <c r="D119" s="242">
        <v>82</v>
      </c>
      <c r="E119" s="243">
        <v>66</v>
      </c>
      <c r="F119" s="423"/>
      <c r="G119" s="424"/>
      <c r="H119" s="425"/>
      <c r="I119" s="423"/>
      <c r="J119" s="424"/>
      <c r="K119" s="425"/>
    </row>
    <row r="120" spans="2:11" ht="15.75" thickBot="1" x14ac:dyDescent="0.3">
      <c r="B120" s="476" t="s">
        <v>337</v>
      </c>
      <c r="C120" s="230">
        <v>34</v>
      </c>
      <c r="D120" s="230">
        <v>5</v>
      </c>
      <c r="E120" s="231">
        <v>12</v>
      </c>
      <c r="F120" s="428">
        <f>+SUM(C120:C121)</f>
        <v>276</v>
      </c>
      <c r="G120" s="429">
        <f>+SUM(D120:D121)</f>
        <v>36</v>
      </c>
      <c r="H120" s="427">
        <f>+SUM(E120:E121)</f>
        <v>84</v>
      </c>
      <c r="I120" s="428">
        <f>+AVERAGE(C120:C121)</f>
        <v>138</v>
      </c>
      <c r="J120" s="429">
        <f>+AVERAGE(D120:D121)</f>
        <v>18</v>
      </c>
      <c r="K120" s="427">
        <f>+AVERAGE(E120:E121)</f>
        <v>42</v>
      </c>
    </row>
    <row r="121" spans="2:11" ht="15.75" thickBot="1" x14ac:dyDescent="0.3">
      <c r="B121" s="472"/>
      <c r="C121" s="230">
        <v>242</v>
      </c>
      <c r="D121" s="230">
        <v>31</v>
      </c>
      <c r="E121" s="231">
        <v>72</v>
      </c>
      <c r="F121" s="428"/>
      <c r="G121" s="429"/>
      <c r="H121" s="427"/>
      <c r="I121" s="428"/>
      <c r="J121" s="429"/>
      <c r="K121" s="427"/>
    </row>
    <row r="122" spans="2:11" ht="15.75" thickBot="1" x14ac:dyDescent="0.3">
      <c r="B122" s="467" t="s">
        <v>364</v>
      </c>
      <c r="C122" s="242">
        <v>632</v>
      </c>
      <c r="D122" s="242">
        <v>96</v>
      </c>
      <c r="E122" s="243">
        <v>221</v>
      </c>
      <c r="F122" s="423">
        <f>+SUM(C122:C123)</f>
        <v>776</v>
      </c>
      <c r="G122" s="424">
        <f>+SUM(D122:D123)</f>
        <v>107</v>
      </c>
      <c r="H122" s="425">
        <f>+SUM(E122:E123)</f>
        <v>255</v>
      </c>
      <c r="I122" s="423">
        <f>+AVERAGE(C122:C123)</f>
        <v>388</v>
      </c>
      <c r="J122" s="424">
        <f>+AVERAGE(D122:D123)</f>
        <v>53.5</v>
      </c>
      <c r="K122" s="425">
        <f>+AVERAGE(E122:E123)</f>
        <v>127.5</v>
      </c>
    </row>
    <row r="123" spans="2:11" ht="15.75" thickBot="1" x14ac:dyDescent="0.3">
      <c r="B123" s="469"/>
      <c r="C123" s="242">
        <v>144</v>
      </c>
      <c r="D123" s="242">
        <v>11</v>
      </c>
      <c r="E123" s="243">
        <v>34</v>
      </c>
      <c r="F123" s="423"/>
      <c r="G123" s="424"/>
      <c r="H123" s="425"/>
      <c r="I123" s="423"/>
      <c r="J123" s="424"/>
      <c r="K123" s="425"/>
    </row>
    <row r="124" spans="2:11" ht="15.75" thickBot="1" x14ac:dyDescent="0.3">
      <c r="B124" s="476" t="s">
        <v>309</v>
      </c>
      <c r="C124" s="230">
        <v>785</v>
      </c>
      <c r="D124" s="230">
        <v>155</v>
      </c>
      <c r="E124" s="231">
        <v>145</v>
      </c>
      <c r="F124" s="428">
        <f>+SUM(C124:C126)</f>
        <v>1527</v>
      </c>
      <c r="G124" s="429">
        <f>+SUM(D124:D126)</f>
        <v>243</v>
      </c>
      <c r="H124" s="427">
        <f>+SUM(E124:E126)</f>
        <v>245</v>
      </c>
      <c r="I124" s="428">
        <f>+AVERAGE(C124:C126)</f>
        <v>509</v>
      </c>
      <c r="J124" s="429">
        <f>+AVERAGE(D124:D126)</f>
        <v>81</v>
      </c>
      <c r="K124" s="427">
        <f>+AVERAGE(E124:E126)</f>
        <v>81.666666666666671</v>
      </c>
    </row>
    <row r="125" spans="2:11" ht="15.75" thickBot="1" x14ac:dyDescent="0.3">
      <c r="B125" s="471"/>
      <c r="C125" s="230">
        <v>313</v>
      </c>
      <c r="D125" s="230">
        <v>14</v>
      </c>
      <c r="E125" s="231">
        <v>40</v>
      </c>
      <c r="F125" s="428"/>
      <c r="G125" s="429"/>
      <c r="H125" s="427"/>
      <c r="I125" s="428"/>
      <c r="J125" s="429"/>
      <c r="K125" s="427"/>
    </row>
    <row r="126" spans="2:11" ht="15.75" thickBot="1" x14ac:dyDescent="0.3">
      <c r="B126" s="472"/>
      <c r="C126" s="230">
        <v>429</v>
      </c>
      <c r="D126" s="230">
        <v>74</v>
      </c>
      <c r="E126" s="231">
        <v>60</v>
      </c>
      <c r="F126" s="428"/>
      <c r="G126" s="429"/>
      <c r="H126" s="427"/>
      <c r="I126" s="428"/>
      <c r="J126" s="429"/>
      <c r="K126" s="427"/>
    </row>
    <row r="127" spans="2:11" ht="15.75" thickBot="1" x14ac:dyDescent="0.3">
      <c r="B127" s="467" t="s">
        <v>258</v>
      </c>
      <c r="C127" s="242">
        <v>549</v>
      </c>
      <c r="D127" s="242">
        <v>60</v>
      </c>
      <c r="E127" s="243">
        <v>70</v>
      </c>
      <c r="F127" s="423">
        <f>+SUM(C127:C129)</f>
        <v>1403</v>
      </c>
      <c r="G127" s="424">
        <f>+SUM(D127:D129)</f>
        <v>240</v>
      </c>
      <c r="H127" s="425">
        <f>+SUM(E127:E129)</f>
        <v>256</v>
      </c>
      <c r="I127" s="423">
        <f>+AVERAGE(C127:C129)</f>
        <v>467.66666666666669</v>
      </c>
      <c r="J127" s="424">
        <f>+AVERAGE(D127:D129)</f>
        <v>80</v>
      </c>
      <c r="K127" s="425">
        <f>+AVERAGE(E127:E129)</f>
        <v>85.333333333333329</v>
      </c>
    </row>
    <row r="128" spans="2:11" ht="15.75" thickBot="1" x14ac:dyDescent="0.3">
      <c r="B128" s="468"/>
      <c r="C128" s="242">
        <v>338</v>
      </c>
      <c r="D128" s="242">
        <v>41</v>
      </c>
      <c r="E128" s="243">
        <v>64</v>
      </c>
      <c r="F128" s="423"/>
      <c r="G128" s="424"/>
      <c r="H128" s="425"/>
      <c r="I128" s="423"/>
      <c r="J128" s="424"/>
      <c r="K128" s="425"/>
    </row>
    <row r="129" spans="2:11" ht="15.75" thickBot="1" x14ac:dyDescent="0.3">
      <c r="B129" s="469"/>
      <c r="C129" s="242">
        <v>516</v>
      </c>
      <c r="D129" s="242">
        <v>139</v>
      </c>
      <c r="E129" s="243">
        <v>122</v>
      </c>
      <c r="F129" s="423"/>
      <c r="G129" s="424"/>
      <c r="H129" s="425"/>
      <c r="I129" s="423"/>
      <c r="J129" s="424"/>
      <c r="K129" s="425"/>
    </row>
    <row r="130" spans="2:11" ht="15.75" thickBot="1" x14ac:dyDescent="0.3">
      <c r="B130" s="232" t="s">
        <v>318</v>
      </c>
      <c r="C130" s="230">
        <v>91</v>
      </c>
      <c r="D130" s="230">
        <v>34</v>
      </c>
      <c r="E130" s="231">
        <v>8</v>
      </c>
      <c r="F130" s="233">
        <v>91</v>
      </c>
      <c r="G130" s="234">
        <v>34</v>
      </c>
      <c r="H130" s="235">
        <v>8</v>
      </c>
      <c r="I130" s="233">
        <v>91</v>
      </c>
      <c r="J130" s="234">
        <v>34</v>
      </c>
      <c r="K130" s="235">
        <v>8</v>
      </c>
    </row>
    <row r="131" spans="2:11" ht="15.75" thickBot="1" x14ac:dyDescent="0.3">
      <c r="B131" s="467" t="s">
        <v>331</v>
      </c>
      <c r="C131" s="242">
        <v>355</v>
      </c>
      <c r="D131" s="242">
        <v>51</v>
      </c>
      <c r="E131" s="243">
        <v>41</v>
      </c>
      <c r="F131" s="423">
        <f>+SUM(C131:C132)</f>
        <v>638</v>
      </c>
      <c r="G131" s="424">
        <f>+SUM(D131:D132)</f>
        <v>113</v>
      </c>
      <c r="H131" s="425">
        <f>+SUM(E131:E132)</f>
        <v>63</v>
      </c>
      <c r="I131" s="423">
        <f>+AVERAGE(C131:C132)</f>
        <v>319</v>
      </c>
      <c r="J131" s="424">
        <f>+AVERAGE(D131:D132)</f>
        <v>56.5</v>
      </c>
      <c r="K131" s="425">
        <f>+AVERAGE(E131:E132)</f>
        <v>31.5</v>
      </c>
    </row>
    <row r="132" spans="2:11" ht="15.75" thickBot="1" x14ac:dyDescent="0.3">
      <c r="B132" s="469"/>
      <c r="C132" s="242">
        <v>283</v>
      </c>
      <c r="D132" s="242">
        <v>62</v>
      </c>
      <c r="E132" s="243">
        <v>22</v>
      </c>
      <c r="F132" s="423"/>
      <c r="G132" s="424"/>
      <c r="H132" s="425"/>
      <c r="I132" s="423"/>
      <c r="J132" s="424"/>
      <c r="K132" s="425"/>
    </row>
    <row r="133" spans="2:11" ht="15.75" thickBot="1" x14ac:dyDescent="0.3">
      <c r="B133" s="476" t="s">
        <v>359</v>
      </c>
      <c r="C133" s="230">
        <v>139</v>
      </c>
      <c r="D133" s="230">
        <v>22</v>
      </c>
      <c r="E133" s="231">
        <v>50</v>
      </c>
      <c r="F133" s="428">
        <f>+SUM(C133:C136)</f>
        <v>5096</v>
      </c>
      <c r="G133" s="429">
        <f>+SUM(D133:D136)</f>
        <v>186</v>
      </c>
      <c r="H133" s="427">
        <f>+SUM(E133:E136)</f>
        <v>2055</v>
      </c>
      <c r="I133" s="428">
        <f>+AVERAGE(C133:C136)</f>
        <v>1274</v>
      </c>
      <c r="J133" s="429">
        <f>+AVERAGE(D133:D136)</f>
        <v>46.5</v>
      </c>
      <c r="K133" s="427">
        <f>+AVERAGE(E133:E136)</f>
        <v>513.75</v>
      </c>
    </row>
    <row r="134" spans="2:11" ht="15.75" thickBot="1" x14ac:dyDescent="0.3">
      <c r="B134" s="471"/>
      <c r="C134" s="230">
        <v>214</v>
      </c>
      <c r="D134" s="230">
        <v>23</v>
      </c>
      <c r="E134" s="231">
        <v>130</v>
      </c>
      <c r="F134" s="428"/>
      <c r="G134" s="429"/>
      <c r="H134" s="427"/>
      <c r="I134" s="428"/>
      <c r="J134" s="429"/>
      <c r="K134" s="427"/>
    </row>
    <row r="135" spans="2:11" ht="15.75" thickBot="1" x14ac:dyDescent="0.3">
      <c r="B135" s="471"/>
      <c r="C135" s="230">
        <v>4500</v>
      </c>
      <c r="D135" s="230">
        <v>126</v>
      </c>
      <c r="E135" s="231">
        <v>1837</v>
      </c>
      <c r="F135" s="428"/>
      <c r="G135" s="429"/>
      <c r="H135" s="427"/>
      <c r="I135" s="428"/>
      <c r="J135" s="429"/>
      <c r="K135" s="427"/>
    </row>
    <row r="136" spans="2:11" ht="15.75" thickBot="1" x14ac:dyDescent="0.3">
      <c r="B136" s="472"/>
      <c r="C136" s="230">
        <v>243</v>
      </c>
      <c r="D136" s="230">
        <v>15</v>
      </c>
      <c r="E136" s="231">
        <v>38</v>
      </c>
      <c r="F136" s="428"/>
      <c r="G136" s="429"/>
      <c r="H136" s="427"/>
      <c r="I136" s="428"/>
      <c r="J136" s="429"/>
      <c r="K136" s="427"/>
    </row>
    <row r="137" spans="2:11" ht="15.75" thickBot="1" x14ac:dyDescent="0.3">
      <c r="B137" s="467" t="s">
        <v>259</v>
      </c>
      <c r="C137" s="242">
        <v>885</v>
      </c>
      <c r="D137" s="242">
        <v>28</v>
      </c>
      <c r="E137" s="243">
        <v>98</v>
      </c>
      <c r="F137" s="423">
        <f>+SUM(C137:C140)</f>
        <v>2805</v>
      </c>
      <c r="G137" s="424">
        <f>+SUM(D137:D140)</f>
        <v>166</v>
      </c>
      <c r="H137" s="425">
        <f>+SUM(E137:E140)</f>
        <v>354</v>
      </c>
      <c r="I137" s="423">
        <f>+AVERAGE(C137:C140)</f>
        <v>701.25</v>
      </c>
      <c r="J137" s="424">
        <f>+AVERAGE(D137:D140)</f>
        <v>41.5</v>
      </c>
      <c r="K137" s="425">
        <f>+AVERAGE(E137:E140)</f>
        <v>88.5</v>
      </c>
    </row>
    <row r="138" spans="2:11" ht="15.75" thickBot="1" x14ac:dyDescent="0.3">
      <c r="B138" s="468"/>
      <c r="C138" s="242">
        <v>422</v>
      </c>
      <c r="D138" s="242">
        <v>33</v>
      </c>
      <c r="E138" s="243">
        <v>50</v>
      </c>
      <c r="F138" s="423"/>
      <c r="G138" s="424"/>
      <c r="H138" s="425"/>
      <c r="I138" s="423"/>
      <c r="J138" s="424"/>
      <c r="K138" s="425"/>
    </row>
    <row r="139" spans="2:11" ht="15.75" thickBot="1" x14ac:dyDescent="0.3">
      <c r="B139" s="468"/>
      <c r="C139" s="242">
        <v>98</v>
      </c>
      <c r="D139" s="242">
        <v>18</v>
      </c>
      <c r="E139" s="243">
        <v>20</v>
      </c>
      <c r="F139" s="423"/>
      <c r="G139" s="424"/>
      <c r="H139" s="425"/>
      <c r="I139" s="423"/>
      <c r="J139" s="424"/>
      <c r="K139" s="425"/>
    </row>
    <row r="140" spans="2:11" ht="15.75" thickBot="1" x14ac:dyDescent="0.3">
      <c r="B140" s="469"/>
      <c r="C140" s="242">
        <v>1400</v>
      </c>
      <c r="D140" s="242">
        <v>87</v>
      </c>
      <c r="E140" s="243">
        <v>186</v>
      </c>
      <c r="F140" s="423"/>
      <c r="G140" s="424"/>
      <c r="H140" s="425"/>
      <c r="I140" s="423"/>
      <c r="J140" s="424"/>
      <c r="K140" s="425"/>
    </row>
    <row r="141" spans="2:11" ht="15.75" thickBot="1" x14ac:dyDescent="0.3">
      <c r="B141" s="476" t="s">
        <v>254</v>
      </c>
      <c r="C141" s="230">
        <v>369</v>
      </c>
      <c r="D141" s="230">
        <v>99</v>
      </c>
      <c r="E141" s="231">
        <v>124</v>
      </c>
      <c r="F141" s="428">
        <f>+SUM(C141:C142)</f>
        <v>753</v>
      </c>
      <c r="G141" s="429">
        <f>+SUM(D141:D142)</f>
        <v>165</v>
      </c>
      <c r="H141" s="427">
        <f>+SUM(E141:E142)</f>
        <v>349</v>
      </c>
      <c r="I141" s="428">
        <f>+AVERAGE(C141:C142)</f>
        <v>376.5</v>
      </c>
      <c r="J141" s="429">
        <f>+AVERAGE(D141:D142)</f>
        <v>82.5</v>
      </c>
      <c r="K141" s="427">
        <f>+AVERAGE(E141:E142)</f>
        <v>174.5</v>
      </c>
    </row>
    <row r="142" spans="2:11" ht="15.75" thickBot="1" x14ac:dyDescent="0.3">
      <c r="B142" s="472"/>
      <c r="C142" s="230">
        <v>384</v>
      </c>
      <c r="D142" s="230">
        <v>66</v>
      </c>
      <c r="E142" s="231">
        <v>225</v>
      </c>
      <c r="F142" s="428"/>
      <c r="G142" s="429"/>
      <c r="H142" s="427"/>
      <c r="I142" s="428"/>
      <c r="J142" s="429"/>
      <c r="K142" s="427"/>
    </row>
    <row r="143" spans="2:11" ht="15.75" thickBot="1" x14ac:dyDescent="0.3">
      <c r="B143" s="244" t="s">
        <v>344</v>
      </c>
      <c r="C143" s="245">
        <v>170</v>
      </c>
      <c r="D143" s="245">
        <v>8</v>
      </c>
      <c r="E143" s="246">
        <v>95</v>
      </c>
      <c r="F143" s="247">
        <v>170</v>
      </c>
      <c r="G143" s="248">
        <v>8</v>
      </c>
      <c r="H143" s="249">
        <v>95</v>
      </c>
      <c r="I143" s="247">
        <v>170</v>
      </c>
      <c r="J143" s="248">
        <v>8</v>
      </c>
      <c r="K143" s="249">
        <v>95</v>
      </c>
    </row>
    <row r="144" spans="2:11" ht="15.75" thickBot="1" x14ac:dyDescent="0.3">
      <c r="B144" s="232" t="s">
        <v>312</v>
      </c>
      <c r="C144" s="230">
        <v>981</v>
      </c>
      <c r="D144" s="230">
        <v>67</v>
      </c>
      <c r="E144" s="231">
        <v>130</v>
      </c>
      <c r="F144" s="233">
        <v>981</v>
      </c>
      <c r="G144" s="234">
        <v>67</v>
      </c>
      <c r="H144" s="235">
        <v>130</v>
      </c>
      <c r="I144" s="233">
        <v>981</v>
      </c>
      <c r="J144" s="234">
        <v>67</v>
      </c>
      <c r="K144" s="235">
        <v>130</v>
      </c>
    </row>
    <row r="145" spans="1:34" ht="15.75" thickBot="1" x14ac:dyDescent="0.3">
      <c r="B145" s="467" t="s">
        <v>321</v>
      </c>
      <c r="C145" s="242">
        <v>402</v>
      </c>
      <c r="D145" s="242">
        <v>65</v>
      </c>
      <c r="E145" s="243">
        <v>89</v>
      </c>
      <c r="F145" s="423">
        <f>+SUM(C145:C148)</f>
        <v>1597</v>
      </c>
      <c r="G145" s="424">
        <f>+SUM(D145:D148)</f>
        <v>159</v>
      </c>
      <c r="H145" s="425">
        <f>+SUM(E145:E148)</f>
        <v>411</v>
      </c>
      <c r="I145" s="423">
        <f>+AVERAGE(C145:C148)</f>
        <v>399.25</v>
      </c>
      <c r="J145" s="424">
        <f>+AVERAGE(D145:D148)</f>
        <v>39.75</v>
      </c>
      <c r="K145" s="425">
        <f>+AVERAGE(E145:E148)</f>
        <v>102.75</v>
      </c>
    </row>
    <row r="146" spans="1:34" ht="15.75" thickBot="1" x14ac:dyDescent="0.3">
      <c r="B146" s="468"/>
      <c r="C146" s="242">
        <v>856</v>
      </c>
      <c r="D146" s="242">
        <v>54</v>
      </c>
      <c r="E146" s="243">
        <v>174</v>
      </c>
      <c r="F146" s="423"/>
      <c r="G146" s="424"/>
      <c r="H146" s="425"/>
      <c r="I146" s="423"/>
      <c r="J146" s="424"/>
      <c r="K146" s="425"/>
    </row>
    <row r="147" spans="1:34" ht="15.75" thickBot="1" x14ac:dyDescent="0.3">
      <c r="B147" s="468"/>
      <c r="C147" s="242">
        <v>224</v>
      </c>
      <c r="D147" s="242">
        <v>21</v>
      </c>
      <c r="E147" s="243">
        <v>107</v>
      </c>
      <c r="F147" s="423"/>
      <c r="G147" s="424"/>
      <c r="H147" s="425"/>
      <c r="I147" s="423"/>
      <c r="J147" s="424"/>
      <c r="K147" s="425"/>
    </row>
    <row r="148" spans="1:34" ht="15.75" thickBot="1" x14ac:dyDescent="0.3">
      <c r="B148" s="469"/>
      <c r="C148" s="242">
        <v>115</v>
      </c>
      <c r="D148" s="242">
        <v>19</v>
      </c>
      <c r="E148" s="243">
        <v>41</v>
      </c>
      <c r="F148" s="423"/>
      <c r="G148" s="424"/>
      <c r="H148" s="425"/>
      <c r="I148" s="423"/>
      <c r="J148" s="424"/>
      <c r="K148" s="425"/>
    </row>
    <row r="149" spans="1:34" ht="15.75" thickBot="1" x14ac:dyDescent="0.3">
      <c r="B149" s="476" t="s">
        <v>287</v>
      </c>
      <c r="C149" s="230">
        <v>349</v>
      </c>
      <c r="D149" s="230">
        <v>49</v>
      </c>
      <c r="E149" s="231">
        <v>40</v>
      </c>
      <c r="F149" s="428">
        <f>+SUM(C149:C151)</f>
        <v>1429</v>
      </c>
      <c r="G149" s="429">
        <f>+SUM(D149:D151)</f>
        <v>217</v>
      </c>
      <c r="H149" s="427">
        <f>+SUM(E149:E151)</f>
        <v>305</v>
      </c>
      <c r="I149" s="428">
        <f>+AVERAGE(C149:C151)</f>
        <v>476.33333333333331</v>
      </c>
      <c r="J149" s="429">
        <f>+AVERAGE(D149:D151)</f>
        <v>72.333333333333329</v>
      </c>
      <c r="K149" s="427">
        <f>+AVERAGE(E149:E151)</f>
        <v>101.66666666666667</v>
      </c>
    </row>
    <row r="150" spans="1:34" ht="15.75" thickBot="1" x14ac:dyDescent="0.3">
      <c r="B150" s="471"/>
      <c r="C150" s="230">
        <v>579</v>
      </c>
      <c r="D150" s="230">
        <v>113</v>
      </c>
      <c r="E150" s="231">
        <v>188</v>
      </c>
      <c r="F150" s="428"/>
      <c r="G150" s="429"/>
      <c r="H150" s="427"/>
      <c r="I150" s="428"/>
      <c r="J150" s="429"/>
      <c r="K150" s="427"/>
    </row>
    <row r="151" spans="1:34" ht="15.75" thickBot="1" x14ac:dyDescent="0.3">
      <c r="B151" s="472"/>
      <c r="C151" s="230">
        <v>501</v>
      </c>
      <c r="D151" s="230">
        <v>55</v>
      </c>
      <c r="E151" s="231">
        <v>77</v>
      </c>
      <c r="F151" s="428"/>
      <c r="G151" s="429"/>
      <c r="H151" s="427"/>
      <c r="I151" s="428"/>
      <c r="J151" s="429"/>
      <c r="K151" s="427"/>
    </row>
    <row r="152" spans="1:34" ht="15.75" thickBot="1" x14ac:dyDescent="0.3">
      <c r="B152" s="236" t="s">
        <v>314</v>
      </c>
      <c r="C152" s="237">
        <v>807</v>
      </c>
      <c r="D152" s="237">
        <v>83</v>
      </c>
      <c r="E152" s="238">
        <v>167</v>
      </c>
      <c r="F152" s="239">
        <v>807</v>
      </c>
      <c r="G152" s="240">
        <v>83</v>
      </c>
      <c r="H152" s="241">
        <v>167</v>
      </c>
      <c r="I152" s="239">
        <v>807</v>
      </c>
      <c r="J152" s="240">
        <v>83</v>
      </c>
      <c r="K152" s="241">
        <v>167</v>
      </c>
    </row>
    <row r="154" spans="1:34" x14ac:dyDescent="0.25">
      <c r="A154" s="13"/>
      <c r="B154" s="14"/>
      <c r="C154" s="13"/>
      <c r="D154" s="13"/>
      <c r="E154" s="13"/>
      <c r="F154" s="14"/>
      <c r="G154" s="14"/>
      <c r="H154" s="14"/>
      <c r="I154" s="14"/>
      <c r="J154" s="14"/>
      <c r="K154" s="14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</row>
    <row r="155" spans="1:34" ht="15.75" thickBot="1" x14ac:dyDescent="0.3">
      <c r="A155" s="7"/>
      <c r="B155" s="11"/>
      <c r="C155" s="7"/>
      <c r="D155" s="7"/>
      <c r="E155" s="7"/>
      <c r="F155" s="11"/>
      <c r="G155" s="11"/>
      <c r="H155" s="11"/>
      <c r="I155" s="11"/>
      <c r="J155" s="11"/>
      <c r="K155" s="11"/>
    </row>
    <row r="156" spans="1:34" ht="27" thickBot="1" x14ac:dyDescent="0.3">
      <c r="B156" s="439" t="s">
        <v>392</v>
      </c>
      <c r="C156" s="440"/>
      <c r="D156" s="440"/>
      <c r="E156" s="440"/>
      <c r="F156" s="440"/>
      <c r="G156" s="440"/>
      <c r="H156" s="440"/>
      <c r="I156" s="440"/>
      <c r="J156" s="440"/>
      <c r="K156" s="441"/>
    </row>
    <row r="157" spans="1:34" ht="21.75" thickBot="1" x14ac:dyDescent="0.4">
      <c r="B157" s="397" t="s">
        <v>396</v>
      </c>
      <c r="C157" s="398"/>
      <c r="D157" s="398"/>
      <c r="E157" s="398"/>
      <c r="F157" s="398"/>
      <c r="G157" s="398"/>
      <c r="H157" s="398"/>
      <c r="I157" s="398"/>
      <c r="J157" s="398"/>
      <c r="K157" s="399"/>
    </row>
    <row r="158" spans="1:34" ht="15.75" thickBot="1" x14ac:dyDescent="0.3">
      <c r="A158" s="7"/>
      <c r="B158" s="11"/>
      <c r="C158" s="7"/>
      <c r="D158" s="7"/>
      <c r="E158" s="7"/>
      <c r="F158" s="11"/>
      <c r="G158" s="11"/>
      <c r="H158" s="11"/>
      <c r="I158" s="11"/>
      <c r="J158" s="11"/>
      <c r="K158" s="11"/>
    </row>
    <row r="159" spans="1:34" ht="19.5" thickBot="1" x14ac:dyDescent="0.3">
      <c r="A159" s="7"/>
      <c r="B159" s="177"/>
      <c r="C159" s="178"/>
      <c r="D159" s="178"/>
      <c r="E159" s="178"/>
      <c r="F159" s="421" t="s">
        <v>389</v>
      </c>
      <c r="G159" s="421"/>
      <c r="H159" s="421"/>
      <c r="I159" s="421" t="s">
        <v>390</v>
      </c>
      <c r="J159" s="421"/>
      <c r="K159" s="422"/>
    </row>
    <row r="160" spans="1:34" ht="18.75" x14ac:dyDescent="0.25">
      <c r="B160" s="180" t="s">
        <v>253</v>
      </c>
      <c r="C160" s="179" t="s">
        <v>473</v>
      </c>
      <c r="D160" s="179" t="s">
        <v>267</v>
      </c>
      <c r="E160" s="179" t="s">
        <v>268</v>
      </c>
      <c r="F160" s="179" t="s">
        <v>473</v>
      </c>
      <c r="G160" s="179" t="s">
        <v>267</v>
      </c>
      <c r="H160" s="179" t="s">
        <v>268</v>
      </c>
      <c r="I160" s="179" t="s">
        <v>473</v>
      </c>
      <c r="J160" s="179" t="s">
        <v>267</v>
      </c>
      <c r="K160" s="181" t="s">
        <v>268</v>
      </c>
      <c r="N160" s="208" t="str">
        <f>B160</f>
        <v>Tema</v>
      </c>
      <c r="O160" s="209" t="str">
        <f t="shared" ref="O160:Q161" si="8">I160</f>
        <v>Gostos</v>
      </c>
      <c r="P160" s="209" t="str">
        <f t="shared" si="8"/>
        <v>Comentários</v>
      </c>
      <c r="Q160" s="210" t="str">
        <f t="shared" si="8"/>
        <v>Partilhas</v>
      </c>
    </row>
    <row r="161" spans="2:17" ht="15.75" thickBot="1" x14ac:dyDescent="0.3">
      <c r="B161" s="488" t="s">
        <v>257</v>
      </c>
      <c r="C161" s="211">
        <v>1100</v>
      </c>
      <c r="D161" s="211">
        <v>80</v>
      </c>
      <c r="E161" s="212">
        <v>119</v>
      </c>
      <c r="F161" s="448">
        <f>+SUM(C161:C163)</f>
        <v>3885</v>
      </c>
      <c r="G161" s="444">
        <f>+SUM(D161:D163)</f>
        <v>281</v>
      </c>
      <c r="H161" s="446">
        <f>+SUM(E161:E163)</f>
        <v>855</v>
      </c>
      <c r="I161" s="448">
        <f>+AVERAGE(C161:C163)</f>
        <v>1295</v>
      </c>
      <c r="J161" s="444">
        <f>+AVERAGE(D161:D163)</f>
        <v>93.666666666666671</v>
      </c>
      <c r="K161" s="446">
        <f>+AVERAGE(E161:E163)</f>
        <v>285</v>
      </c>
      <c r="N161" s="78" t="str">
        <f>B161</f>
        <v>Ambiente</v>
      </c>
      <c r="O161" s="98">
        <f t="shared" si="8"/>
        <v>1295</v>
      </c>
      <c r="P161" s="109">
        <f t="shared" si="8"/>
        <v>93.666666666666671</v>
      </c>
      <c r="Q161" s="99">
        <f t="shared" si="8"/>
        <v>285</v>
      </c>
    </row>
    <row r="162" spans="2:17" ht="15.75" thickBot="1" x14ac:dyDescent="0.3">
      <c r="B162" s="488"/>
      <c r="C162" s="213">
        <v>285</v>
      </c>
      <c r="D162" s="213">
        <v>23</v>
      </c>
      <c r="E162" s="214">
        <v>35</v>
      </c>
      <c r="F162" s="442"/>
      <c r="G162" s="445"/>
      <c r="H162" s="447"/>
      <c r="I162" s="442"/>
      <c r="J162" s="445"/>
      <c r="K162" s="447"/>
      <c r="N162" s="26" t="str">
        <f>B164</f>
        <v>Atividades PE</v>
      </c>
      <c r="O162" s="100">
        <f>I164</f>
        <v>434.23076923076923</v>
      </c>
      <c r="P162" s="100">
        <f>J164</f>
        <v>54.769230769230766</v>
      </c>
      <c r="Q162" s="101">
        <f>K164</f>
        <v>63.92307692307692</v>
      </c>
    </row>
    <row r="163" spans="2:17" ht="15.75" thickBot="1" x14ac:dyDescent="0.3">
      <c r="B163" s="487"/>
      <c r="C163" s="213">
        <v>2500</v>
      </c>
      <c r="D163" s="213">
        <v>178</v>
      </c>
      <c r="E163" s="214">
        <v>701</v>
      </c>
      <c r="F163" s="442"/>
      <c r="G163" s="445"/>
      <c r="H163" s="447"/>
      <c r="I163" s="442"/>
      <c r="J163" s="445"/>
      <c r="K163" s="447"/>
      <c r="N163" s="78" t="str">
        <f>B177</f>
        <v>Cultura</v>
      </c>
      <c r="O163" s="98">
        <f t="shared" ref="O163:Q165" si="9">I177</f>
        <v>175</v>
      </c>
      <c r="P163" s="98">
        <f t="shared" si="9"/>
        <v>39</v>
      </c>
      <c r="Q163" s="99">
        <f t="shared" si="9"/>
        <v>34</v>
      </c>
    </row>
    <row r="164" spans="2:17" ht="15.75" thickBot="1" x14ac:dyDescent="0.3">
      <c r="B164" s="432" t="s">
        <v>256</v>
      </c>
      <c r="C164" s="221">
        <v>421</v>
      </c>
      <c r="D164" s="221">
        <v>106</v>
      </c>
      <c r="E164" s="222">
        <v>105</v>
      </c>
      <c r="F164" s="423">
        <f>+SUM(C164:C176)</f>
        <v>5645</v>
      </c>
      <c r="G164" s="424">
        <f>+SUM(D164:D176)</f>
        <v>712</v>
      </c>
      <c r="H164" s="425">
        <f>+SUM(E164:E176)</f>
        <v>831</v>
      </c>
      <c r="I164" s="423">
        <f>+AVERAGE(C164:C176)</f>
        <v>434.23076923076923</v>
      </c>
      <c r="J164" s="424">
        <f>+AVERAGE(D164:D176)</f>
        <v>54.769230769230766</v>
      </c>
      <c r="K164" s="425">
        <f>+AVERAGE(E164:E176)</f>
        <v>63.92307692307692</v>
      </c>
      <c r="N164" s="26" t="str">
        <f>B178</f>
        <v>DH</v>
      </c>
      <c r="O164" s="100">
        <f t="shared" si="9"/>
        <v>9500</v>
      </c>
      <c r="P164" s="100">
        <f t="shared" si="9"/>
        <v>213</v>
      </c>
      <c r="Q164" s="101">
        <f t="shared" si="9"/>
        <v>7613</v>
      </c>
    </row>
    <row r="165" spans="2:17" ht="15.75" thickBot="1" x14ac:dyDescent="0.3">
      <c r="B165" s="433"/>
      <c r="C165" s="221">
        <v>345</v>
      </c>
      <c r="D165" s="221">
        <v>56</v>
      </c>
      <c r="E165" s="222">
        <v>42</v>
      </c>
      <c r="F165" s="423"/>
      <c r="G165" s="424"/>
      <c r="H165" s="425"/>
      <c r="I165" s="423"/>
      <c r="J165" s="424"/>
      <c r="K165" s="425"/>
      <c r="N165" s="78" t="str">
        <f>B179</f>
        <v>Economia</v>
      </c>
      <c r="O165" s="229">
        <f t="shared" si="9"/>
        <v>199.5</v>
      </c>
      <c r="P165" s="98">
        <f t="shared" si="9"/>
        <v>49.5</v>
      </c>
      <c r="Q165" s="99">
        <f t="shared" si="9"/>
        <v>53</v>
      </c>
    </row>
    <row r="166" spans="2:17" ht="15.75" thickBot="1" x14ac:dyDescent="0.3">
      <c r="B166" s="433"/>
      <c r="C166" s="221">
        <v>403</v>
      </c>
      <c r="D166" s="221">
        <v>74</v>
      </c>
      <c r="E166" s="222">
        <v>74</v>
      </c>
      <c r="F166" s="423"/>
      <c r="G166" s="424"/>
      <c r="H166" s="425"/>
      <c r="I166" s="423"/>
      <c r="J166" s="424"/>
      <c r="K166" s="425"/>
      <c r="N166" s="26" t="str">
        <f>B181</f>
        <v>Efeméride</v>
      </c>
      <c r="O166" s="100">
        <f>I181</f>
        <v>694</v>
      </c>
      <c r="P166" s="100">
        <f>J181</f>
        <v>80.333333333333329</v>
      </c>
      <c r="Q166" s="101">
        <f>K181</f>
        <v>40.333333333333336</v>
      </c>
    </row>
    <row r="167" spans="2:17" ht="15.75" thickBot="1" x14ac:dyDescent="0.3">
      <c r="B167" s="433"/>
      <c r="C167" s="221">
        <v>192</v>
      </c>
      <c r="D167" s="221">
        <v>33</v>
      </c>
      <c r="E167" s="222">
        <v>26</v>
      </c>
      <c r="F167" s="423"/>
      <c r="G167" s="424"/>
      <c r="H167" s="425"/>
      <c r="I167" s="423"/>
      <c r="J167" s="424"/>
      <c r="K167" s="425"/>
      <c r="N167" s="78" t="str">
        <f>B184</f>
        <v>Energia</v>
      </c>
      <c r="O167" s="98">
        <f t="shared" ref="O167:Q168" si="10">I184</f>
        <v>1232</v>
      </c>
      <c r="P167" s="98">
        <f t="shared" si="10"/>
        <v>91</v>
      </c>
      <c r="Q167" s="99">
        <f t="shared" si="10"/>
        <v>489</v>
      </c>
    </row>
    <row r="168" spans="2:17" ht="15.75" thickBot="1" x14ac:dyDescent="0.3">
      <c r="B168" s="433"/>
      <c r="C168" s="221">
        <v>995</v>
      </c>
      <c r="D168" s="221">
        <v>64</v>
      </c>
      <c r="E168" s="222">
        <v>86</v>
      </c>
      <c r="F168" s="423"/>
      <c r="G168" s="424"/>
      <c r="H168" s="425"/>
      <c r="I168" s="423"/>
      <c r="J168" s="424"/>
      <c r="K168" s="425"/>
      <c r="N168" s="26" t="str">
        <f>B185</f>
        <v>Faits-Divers</v>
      </c>
      <c r="O168" s="100">
        <f t="shared" si="10"/>
        <v>1424</v>
      </c>
      <c r="P168" s="100">
        <f t="shared" si="10"/>
        <v>51</v>
      </c>
      <c r="Q168" s="101">
        <f t="shared" si="10"/>
        <v>70</v>
      </c>
    </row>
    <row r="169" spans="2:17" ht="15.75" thickBot="1" x14ac:dyDescent="0.3">
      <c r="B169" s="433"/>
      <c r="C169" s="221">
        <v>145</v>
      </c>
      <c r="D169" s="221">
        <v>22</v>
      </c>
      <c r="E169" s="222">
        <v>16</v>
      </c>
      <c r="F169" s="423"/>
      <c r="G169" s="424"/>
      <c r="H169" s="425"/>
      <c r="I169" s="423"/>
      <c r="J169" s="424"/>
      <c r="K169" s="425"/>
      <c r="N169" s="78" t="str">
        <f>B189</f>
        <v>Informações úteis</v>
      </c>
      <c r="O169" s="98">
        <f>I189</f>
        <v>624.5</v>
      </c>
      <c r="P169" s="98">
        <f>J189</f>
        <v>61.5</v>
      </c>
      <c r="Q169" s="99">
        <f>K189</f>
        <v>53</v>
      </c>
    </row>
    <row r="170" spans="2:17" ht="15.75" thickBot="1" x14ac:dyDescent="0.3">
      <c r="B170" s="433"/>
      <c r="C170" s="221">
        <v>921</v>
      </c>
      <c r="D170" s="221">
        <v>42</v>
      </c>
      <c r="E170" s="222">
        <v>47</v>
      </c>
      <c r="F170" s="423"/>
      <c r="G170" s="424"/>
      <c r="H170" s="425"/>
      <c r="I170" s="423"/>
      <c r="J170" s="424"/>
      <c r="K170" s="425"/>
      <c r="N170" s="26" t="str">
        <f>B191</f>
        <v>Juventude</v>
      </c>
      <c r="O170" s="100">
        <f>I191</f>
        <v>76.333333333333329</v>
      </c>
      <c r="P170" s="100">
        <f>J191</f>
        <v>29.333333333333332</v>
      </c>
      <c r="Q170" s="101">
        <f>K191</f>
        <v>15.666666666666666</v>
      </c>
    </row>
    <row r="171" spans="2:17" ht="15.75" thickBot="1" x14ac:dyDescent="0.3">
      <c r="B171" s="433"/>
      <c r="C171" s="221">
        <v>484</v>
      </c>
      <c r="D171" s="221">
        <v>68</v>
      </c>
      <c r="E171" s="222">
        <v>46</v>
      </c>
      <c r="F171" s="423"/>
      <c r="G171" s="424"/>
      <c r="H171" s="425"/>
      <c r="I171" s="423"/>
      <c r="J171" s="424"/>
      <c r="K171" s="425"/>
      <c r="N171" s="78" t="str">
        <f>B194</f>
        <v>Multiculturalismo</v>
      </c>
      <c r="O171" s="98">
        <f t="shared" ref="O171:Q172" si="11">I194</f>
        <v>461</v>
      </c>
      <c r="P171" s="98">
        <f t="shared" si="11"/>
        <v>79</v>
      </c>
      <c r="Q171" s="99">
        <f t="shared" si="11"/>
        <v>101</v>
      </c>
    </row>
    <row r="172" spans="2:17" ht="15.75" thickBot="1" x14ac:dyDescent="0.3">
      <c r="B172" s="433"/>
      <c r="C172" s="221">
        <v>701</v>
      </c>
      <c r="D172" s="221">
        <v>108</v>
      </c>
      <c r="E172" s="222">
        <v>205</v>
      </c>
      <c r="F172" s="423"/>
      <c r="G172" s="424"/>
      <c r="H172" s="425"/>
      <c r="I172" s="423"/>
      <c r="J172" s="424"/>
      <c r="K172" s="425"/>
      <c r="N172" s="26" t="str">
        <f>B195</f>
        <v>Multilinguismo</v>
      </c>
      <c r="O172" s="100">
        <f t="shared" si="11"/>
        <v>1726</v>
      </c>
      <c r="P172" s="100">
        <f t="shared" si="11"/>
        <v>112</v>
      </c>
      <c r="Q172" s="101">
        <f t="shared" si="11"/>
        <v>437.5</v>
      </c>
    </row>
    <row r="173" spans="2:17" ht="15.75" thickBot="1" x14ac:dyDescent="0.3">
      <c r="B173" s="433"/>
      <c r="C173" s="221">
        <v>98</v>
      </c>
      <c r="D173" s="221">
        <v>25</v>
      </c>
      <c r="E173" s="222">
        <v>17</v>
      </c>
      <c r="F173" s="423"/>
      <c r="G173" s="424"/>
      <c r="H173" s="425"/>
      <c r="I173" s="423"/>
      <c r="J173" s="424"/>
      <c r="K173" s="425"/>
      <c r="N173" s="121" t="str">
        <f>B197</f>
        <v>Presidência Holandesa</v>
      </c>
      <c r="O173" s="98">
        <f>I197</f>
        <v>988.33333333333337</v>
      </c>
      <c r="P173" s="98">
        <f>J197</f>
        <v>178</v>
      </c>
      <c r="Q173" s="99">
        <f>K197</f>
        <v>155</v>
      </c>
    </row>
    <row r="174" spans="2:17" ht="15.75" thickBot="1" x14ac:dyDescent="0.3">
      <c r="B174" s="433"/>
      <c r="C174" s="221">
        <v>264</v>
      </c>
      <c r="D174" s="221">
        <v>50</v>
      </c>
      <c r="E174" s="222">
        <v>22</v>
      </c>
      <c r="F174" s="423"/>
      <c r="G174" s="424"/>
      <c r="H174" s="425"/>
      <c r="I174" s="423"/>
      <c r="J174" s="424"/>
      <c r="K174" s="425"/>
      <c r="N174" s="26" t="str">
        <f>B200</f>
        <v>Redes Sociais</v>
      </c>
      <c r="O174" s="100">
        <f t="shared" ref="O174:Q175" si="12">I200</f>
        <v>246</v>
      </c>
      <c r="P174" s="100">
        <f t="shared" si="12"/>
        <v>82</v>
      </c>
      <c r="Q174" s="101">
        <f t="shared" si="12"/>
        <v>25</v>
      </c>
    </row>
    <row r="175" spans="2:17" ht="15.75" thickBot="1" x14ac:dyDescent="0.3">
      <c r="B175" s="433"/>
      <c r="C175" s="221">
        <v>592</v>
      </c>
      <c r="D175" s="221">
        <v>46</v>
      </c>
      <c r="E175" s="222">
        <v>131</v>
      </c>
      <c r="F175" s="423"/>
      <c r="G175" s="424"/>
      <c r="H175" s="425"/>
      <c r="I175" s="423"/>
      <c r="J175" s="424"/>
      <c r="K175" s="425"/>
      <c r="N175" s="78" t="str">
        <f>B201</f>
        <v>Refugiados</v>
      </c>
      <c r="O175" s="98">
        <f t="shared" si="12"/>
        <v>508.5</v>
      </c>
      <c r="P175" s="98">
        <f t="shared" si="12"/>
        <v>162</v>
      </c>
      <c r="Q175" s="99">
        <f t="shared" si="12"/>
        <v>173</v>
      </c>
    </row>
    <row r="176" spans="2:17" ht="15.75" thickBot="1" x14ac:dyDescent="0.3">
      <c r="B176" s="434"/>
      <c r="C176" s="221">
        <v>84</v>
      </c>
      <c r="D176" s="221">
        <v>18</v>
      </c>
      <c r="E176" s="222">
        <v>14</v>
      </c>
      <c r="F176" s="423"/>
      <c r="G176" s="424"/>
      <c r="H176" s="425"/>
      <c r="I176" s="423"/>
      <c r="J176" s="424"/>
      <c r="K176" s="425"/>
      <c r="N176" s="26" t="str">
        <f>B203</f>
        <v>Relações EM</v>
      </c>
      <c r="O176" s="100">
        <f>I203</f>
        <v>187.66666666666666</v>
      </c>
      <c r="P176" s="100">
        <f>J203</f>
        <v>57</v>
      </c>
      <c r="Q176" s="101">
        <f>K203</f>
        <v>62</v>
      </c>
    </row>
    <row r="177" spans="2:17" ht="15.75" thickBot="1" x14ac:dyDescent="0.3">
      <c r="B177" s="215" t="s">
        <v>334</v>
      </c>
      <c r="C177" s="213">
        <v>175</v>
      </c>
      <c r="D177" s="213">
        <v>39</v>
      </c>
      <c r="E177" s="214">
        <v>34</v>
      </c>
      <c r="F177" s="216">
        <v>175</v>
      </c>
      <c r="G177" s="217">
        <v>39</v>
      </c>
      <c r="H177" s="218">
        <v>34</v>
      </c>
      <c r="I177" s="216">
        <v>175</v>
      </c>
      <c r="J177" s="217">
        <v>39</v>
      </c>
      <c r="K177" s="218">
        <v>34</v>
      </c>
      <c r="N177" s="78" t="str">
        <f>B206</f>
        <v>Relações extraUE</v>
      </c>
      <c r="O177" s="98">
        <f t="shared" ref="O177:Q178" si="13">I206</f>
        <v>224</v>
      </c>
      <c r="P177" s="98">
        <f t="shared" si="13"/>
        <v>80</v>
      </c>
      <c r="Q177" s="99">
        <f t="shared" si="13"/>
        <v>32</v>
      </c>
    </row>
    <row r="178" spans="2:17" ht="15.75" thickBot="1" x14ac:dyDescent="0.3">
      <c r="B178" s="225" t="s">
        <v>328</v>
      </c>
      <c r="C178" s="221">
        <v>9500</v>
      </c>
      <c r="D178" s="221">
        <v>213</v>
      </c>
      <c r="E178" s="222">
        <v>7613</v>
      </c>
      <c r="F178" s="226">
        <v>9500</v>
      </c>
      <c r="G178" s="227">
        <v>213</v>
      </c>
      <c r="H178" s="228">
        <v>7613</v>
      </c>
      <c r="I178" s="226">
        <v>9500</v>
      </c>
      <c r="J178" s="227">
        <v>213</v>
      </c>
      <c r="K178" s="228">
        <v>7613</v>
      </c>
      <c r="L178" s="93"/>
      <c r="N178" s="26" t="str">
        <f>B207</f>
        <v>Saúde</v>
      </c>
      <c r="O178" s="100">
        <f t="shared" si="13"/>
        <v>1319</v>
      </c>
      <c r="P178" s="100">
        <f t="shared" si="13"/>
        <v>80.5</v>
      </c>
      <c r="Q178" s="101">
        <f t="shared" si="13"/>
        <v>262</v>
      </c>
    </row>
    <row r="179" spans="2:17" ht="15.75" thickBot="1" x14ac:dyDescent="0.3">
      <c r="B179" s="486" t="s">
        <v>295</v>
      </c>
      <c r="C179" s="213">
        <v>66</v>
      </c>
      <c r="D179" s="213">
        <v>41</v>
      </c>
      <c r="E179" s="214">
        <v>26</v>
      </c>
      <c r="F179" s="442">
        <f>+SUM(C179:C180)</f>
        <v>399</v>
      </c>
      <c r="G179" s="445">
        <f>+SUM(D179:D180)</f>
        <v>99</v>
      </c>
      <c r="H179" s="447">
        <f>+SUM(E179:E180)</f>
        <v>106</v>
      </c>
      <c r="I179" s="442">
        <f>+AVERAGE(C179:C180)</f>
        <v>199.5</v>
      </c>
      <c r="J179" s="445">
        <f>+AVERAGE(D179:D180)</f>
        <v>49.5</v>
      </c>
      <c r="K179" s="447">
        <f>+AVERAGE(E179:E180)</f>
        <v>53</v>
      </c>
      <c r="N179" s="78" t="str">
        <f>B209</f>
        <v>Segurança</v>
      </c>
      <c r="O179" s="98">
        <f>I209</f>
        <v>407.5</v>
      </c>
      <c r="P179" s="98">
        <f>J209</f>
        <v>54.5</v>
      </c>
      <c r="Q179" s="99">
        <f>K209</f>
        <v>69</v>
      </c>
    </row>
    <row r="180" spans="2:17" ht="15.75" thickBot="1" x14ac:dyDescent="0.3">
      <c r="B180" s="487"/>
      <c r="C180" s="213">
        <v>333</v>
      </c>
      <c r="D180" s="213">
        <v>58</v>
      </c>
      <c r="E180" s="214">
        <v>80</v>
      </c>
      <c r="F180" s="442"/>
      <c r="G180" s="445"/>
      <c r="H180" s="447"/>
      <c r="I180" s="442"/>
      <c r="J180" s="445"/>
      <c r="K180" s="447"/>
      <c r="N180" s="26" t="str">
        <f>B211</f>
        <v>Segurança Online</v>
      </c>
      <c r="O180" s="100">
        <f>I211</f>
        <v>209</v>
      </c>
      <c r="P180" s="100">
        <f>J211</f>
        <v>41</v>
      </c>
      <c r="Q180" s="101">
        <f>K211</f>
        <v>41</v>
      </c>
    </row>
    <row r="181" spans="2:17" ht="15.75" thickBot="1" x14ac:dyDescent="0.3">
      <c r="B181" s="432" t="s">
        <v>382</v>
      </c>
      <c r="C181" s="221">
        <v>530</v>
      </c>
      <c r="D181" s="221">
        <v>98</v>
      </c>
      <c r="E181" s="222">
        <v>84</v>
      </c>
      <c r="F181" s="423">
        <f>+SUM(C181:C183)</f>
        <v>2082</v>
      </c>
      <c r="G181" s="424">
        <f>+SUM(D181:D183)</f>
        <v>241</v>
      </c>
      <c r="H181" s="425">
        <f>+SUM(E181:E183)</f>
        <v>121</v>
      </c>
      <c r="I181" s="423">
        <f>+AVERAGE(C181:C183)</f>
        <v>694</v>
      </c>
      <c r="J181" s="424">
        <f>+AVERAGE(D181:D183)</f>
        <v>80.333333333333329</v>
      </c>
      <c r="K181" s="425">
        <f>+AVERAGE(E181:E183)</f>
        <v>40.333333333333336</v>
      </c>
      <c r="N181" s="78" t="str">
        <f>B213</f>
        <v>Terrorismo</v>
      </c>
      <c r="O181" s="98">
        <f>I213</f>
        <v>366.5</v>
      </c>
      <c r="P181" s="98">
        <f>J213</f>
        <v>81</v>
      </c>
      <c r="Q181" s="99">
        <f>K213</f>
        <v>98.5</v>
      </c>
    </row>
    <row r="182" spans="2:17" ht="15.75" thickBot="1" x14ac:dyDescent="0.3">
      <c r="B182" s="433"/>
      <c r="C182" s="221">
        <v>152</v>
      </c>
      <c r="D182" s="221">
        <v>56</v>
      </c>
      <c r="E182" s="222">
        <v>37</v>
      </c>
      <c r="F182" s="423"/>
      <c r="G182" s="424"/>
      <c r="H182" s="425"/>
      <c r="I182" s="423"/>
      <c r="J182" s="424"/>
      <c r="K182" s="425"/>
      <c r="N182" s="26" t="str">
        <f>B215</f>
        <v>TiSA</v>
      </c>
      <c r="O182" s="100">
        <f>I215</f>
        <v>215.5</v>
      </c>
      <c r="P182" s="100">
        <f>J215</f>
        <v>35.5</v>
      </c>
      <c r="Q182" s="101">
        <f>K215</f>
        <v>31.5</v>
      </c>
    </row>
    <row r="183" spans="2:17" ht="15.75" thickBot="1" x14ac:dyDescent="0.3">
      <c r="B183" s="434"/>
      <c r="C183" s="221">
        <v>1400</v>
      </c>
      <c r="D183" s="221">
        <v>87</v>
      </c>
      <c r="E183" s="222">
        <v>0</v>
      </c>
      <c r="F183" s="423"/>
      <c r="G183" s="424"/>
      <c r="H183" s="425"/>
      <c r="I183" s="423"/>
      <c r="J183" s="424"/>
      <c r="K183" s="425"/>
      <c r="N183" s="80" t="str">
        <f>B217</f>
        <v>TTIP</v>
      </c>
      <c r="O183" s="107">
        <f>I217</f>
        <v>86.666666666666671</v>
      </c>
      <c r="P183" s="107">
        <f>J217</f>
        <v>27.333333333333332</v>
      </c>
      <c r="Q183" s="108">
        <f>K217</f>
        <v>15.666666666666666</v>
      </c>
    </row>
    <row r="184" spans="2:17" ht="15.75" thickBot="1" x14ac:dyDescent="0.3">
      <c r="B184" s="215" t="s">
        <v>298</v>
      </c>
      <c r="C184" s="213">
        <v>1232</v>
      </c>
      <c r="D184" s="213">
        <v>91</v>
      </c>
      <c r="E184" s="214">
        <v>489</v>
      </c>
      <c r="F184" s="216">
        <v>1232</v>
      </c>
      <c r="G184" s="217">
        <v>91</v>
      </c>
      <c r="H184" s="218">
        <v>489</v>
      </c>
      <c r="I184" s="216">
        <v>1232</v>
      </c>
      <c r="J184" s="217">
        <v>91</v>
      </c>
      <c r="K184" s="218">
        <v>489</v>
      </c>
    </row>
    <row r="185" spans="2:17" ht="15.75" thickBot="1" x14ac:dyDescent="0.3">
      <c r="B185" s="503" t="s">
        <v>478</v>
      </c>
      <c r="C185" s="221">
        <v>3500</v>
      </c>
      <c r="D185" s="221">
        <v>114</v>
      </c>
      <c r="E185" s="222">
        <v>160</v>
      </c>
      <c r="F185" s="423">
        <f>+SUM(C185:C188)</f>
        <v>5696</v>
      </c>
      <c r="G185" s="424">
        <f>+SUM(D185:D188)</f>
        <v>204</v>
      </c>
      <c r="H185" s="425">
        <f>+SUM(E185:E188)</f>
        <v>280</v>
      </c>
      <c r="I185" s="423">
        <f>+AVERAGE(C185:C188)</f>
        <v>1424</v>
      </c>
      <c r="J185" s="424">
        <f>+AVERAGE(D185:D188)</f>
        <v>51</v>
      </c>
      <c r="K185" s="425">
        <f>+AVERAGE(E185:E188)</f>
        <v>70</v>
      </c>
    </row>
    <row r="186" spans="2:17" ht="15.75" thickBot="1" x14ac:dyDescent="0.3">
      <c r="B186" s="433"/>
      <c r="C186" s="221">
        <v>1000</v>
      </c>
      <c r="D186" s="221">
        <v>53</v>
      </c>
      <c r="E186" s="222">
        <v>58</v>
      </c>
      <c r="F186" s="423"/>
      <c r="G186" s="424"/>
      <c r="H186" s="425"/>
      <c r="I186" s="423"/>
      <c r="J186" s="424"/>
      <c r="K186" s="425"/>
    </row>
    <row r="187" spans="2:17" ht="15.75" thickBot="1" x14ac:dyDescent="0.3">
      <c r="B187" s="433"/>
      <c r="C187" s="221">
        <v>1100</v>
      </c>
      <c r="D187" s="221">
        <v>22</v>
      </c>
      <c r="E187" s="222">
        <v>40</v>
      </c>
      <c r="F187" s="423"/>
      <c r="G187" s="424"/>
      <c r="H187" s="425"/>
      <c r="I187" s="423"/>
      <c r="J187" s="424"/>
      <c r="K187" s="425"/>
    </row>
    <row r="188" spans="2:17" ht="15.75" thickBot="1" x14ac:dyDescent="0.3">
      <c r="B188" s="434"/>
      <c r="C188" s="221">
        <v>96</v>
      </c>
      <c r="D188" s="221">
        <v>15</v>
      </c>
      <c r="E188" s="222">
        <v>22</v>
      </c>
      <c r="F188" s="423"/>
      <c r="G188" s="424"/>
      <c r="H188" s="425"/>
      <c r="I188" s="423"/>
      <c r="J188" s="424"/>
      <c r="K188" s="425"/>
    </row>
    <row r="189" spans="2:17" ht="15.75" thickBot="1" x14ac:dyDescent="0.3">
      <c r="B189" s="486" t="s">
        <v>339</v>
      </c>
      <c r="C189" s="213">
        <v>938</v>
      </c>
      <c r="D189" s="213">
        <v>72</v>
      </c>
      <c r="E189" s="214">
        <v>67</v>
      </c>
      <c r="F189" s="442">
        <f>+SUM(C189:C190)</f>
        <v>1249</v>
      </c>
      <c r="G189" s="445">
        <f>+SUM(D189:D190)</f>
        <v>123</v>
      </c>
      <c r="H189" s="447">
        <f>+SUM(E189:E190)</f>
        <v>106</v>
      </c>
      <c r="I189" s="442">
        <f>+AVERAGE(C189:C190)</f>
        <v>624.5</v>
      </c>
      <c r="J189" s="445">
        <f>+AVERAGE(D189:D190)</f>
        <v>61.5</v>
      </c>
      <c r="K189" s="447">
        <f>+AVERAGE(E189:E190)</f>
        <v>53</v>
      </c>
    </row>
    <row r="190" spans="2:17" ht="15.75" thickBot="1" x14ac:dyDescent="0.3">
      <c r="B190" s="487"/>
      <c r="C190" s="213">
        <v>311</v>
      </c>
      <c r="D190" s="213">
        <v>51</v>
      </c>
      <c r="E190" s="214">
        <v>39</v>
      </c>
      <c r="F190" s="442"/>
      <c r="G190" s="445"/>
      <c r="H190" s="447"/>
      <c r="I190" s="442"/>
      <c r="J190" s="445"/>
      <c r="K190" s="447"/>
    </row>
    <row r="191" spans="2:17" ht="15.75" thickBot="1" x14ac:dyDescent="0.3">
      <c r="B191" s="432" t="s">
        <v>337</v>
      </c>
      <c r="C191" s="221">
        <v>100</v>
      </c>
      <c r="D191" s="221">
        <v>43</v>
      </c>
      <c r="E191" s="222">
        <v>28</v>
      </c>
      <c r="F191" s="423">
        <f>+SUM(C191:C193)</f>
        <v>229</v>
      </c>
      <c r="G191" s="424">
        <f>+SUM(D191:D193)</f>
        <v>88</v>
      </c>
      <c r="H191" s="425">
        <f>+SUM(E191:E193)</f>
        <v>47</v>
      </c>
      <c r="I191" s="423">
        <f>+AVERAGE(C191:C193)</f>
        <v>76.333333333333329</v>
      </c>
      <c r="J191" s="424">
        <f>+AVERAGE(D191:D193)</f>
        <v>29.333333333333332</v>
      </c>
      <c r="K191" s="425">
        <f>+AVERAGE(E191:E193)</f>
        <v>15.666666666666666</v>
      </c>
    </row>
    <row r="192" spans="2:17" ht="15.75" thickBot="1" x14ac:dyDescent="0.3">
      <c r="B192" s="433"/>
      <c r="C192" s="221">
        <v>106</v>
      </c>
      <c r="D192" s="221">
        <v>34</v>
      </c>
      <c r="E192" s="222">
        <v>16</v>
      </c>
      <c r="F192" s="423"/>
      <c r="G192" s="424"/>
      <c r="H192" s="425"/>
      <c r="I192" s="423"/>
      <c r="J192" s="424"/>
      <c r="K192" s="425"/>
    </row>
    <row r="193" spans="2:11" ht="15.75" thickBot="1" x14ac:dyDescent="0.3">
      <c r="B193" s="434"/>
      <c r="C193" s="221">
        <v>23</v>
      </c>
      <c r="D193" s="221">
        <v>11</v>
      </c>
      <c r="E193" s="222">
        <v>3</v>
      </c>
      <c r="F193" s="423"/>
      <c r="G193" s="424"/>
      <c r="H193" s="425"/>
      <c r="I193" s="423"/>
      <c r="J193" s="424"/>
      <c r="K193" s="425"/>
    </row>
    <row r="194" spans="2:11" ht="15.75" thickBot="1" x14ac:dyDescent="0.3">
      <c r="B194" s="215" t="s">
        <v>364</v>
      </c>
      <c r="C194" s="213">
        <v>461</v>
      </c>
      <c r="D194" s="213">
        <v>79</v>
      </c>
      <c r="E194" s="214">
        <v>101</v>
      </c>
      <c r="F194" s="216">
        <v>461</v>
      </c>
      <c r="G194" s="217">
        <v>79</v>
      </c>
      <c r="H194" s="218">
        <v>101</v>
      </c>
      <c r="I194" s="216">
        <v>461</v>
      </c>
      <c r="J194" s="217">
        <v>79</v>
      </c>
      <c r="K194" s="218">
        <v>101</v>
      </c>
    </row>
    <row r="195" spans="2:11" ht="15.75" thickBot="1" x14ac:dyDescent="0.3">
      <c r="B195" s="432" t="s">
        <v>309</v>
      </c>
      <c r="C195" s="221">
        <v>428</v>
      </c>
      <c r="D195" s="221">
        <v>30</v>
      </c>
      <c r="E195" s="222">
        <v>103</v>
      </c>
      <c r="F195" s="423">
        <f>+SUM(C195:C196)</f>
        <v>3452</v>
      </c>
      <c r="G195" s="424">
        <f>+SUM(D195:D196)</f>
        <v>224</v>
      </c>
      <c r="H195" s="425">
        <f>+SUM(E195:E196)</f>
        <v>875</v>
      </c>
      <c r="I195" s="423">
        <f>+AVERAGE(C195:C196)</f>
        <v>1726</v>
      </c>
      <c r="J195" s="424">
        <f>+AVERAGE(D195:D196)</f>
        <v>112</v>
      </c>
      <c r="K195" s="425">
        <f>+AVERAGE(E195:E196)</f>
        <v>437.5</v>
      </c>
    </row>
    <row r="196" spans="2:11" ht="15.75" thickBot="1" x14ac:dyDescent="0.3">
      <c r="B196" s="434"/>
      <c r="C196" s="221">
        <v>3024</v>
      </c>
      <c r="D196" s="221">
        <v>194</v>
      </c>
      <c r="E196" s="222">
        <v>772</v>
      </c>
      <c r="F196" s="423"/>
      <c r="G196" s="424"/>
      <c r="H196" s="425"/>
      <c r="I196" s="423"/>
      <c r="J196" s="424"/>
      <c r="K196" s="425"/>
    </row>
    <row r="197" spans="2:11" ht="15.75" thickBot="1" x14ac:dyDescent="0.3">
      <c r="B197" s="486" t="s">
        <v>318</v>
      </c>
      <c r="C197" s="213">
        <v>2100</v>
      </c>
      <c r="D197" s="213">
        <v>355</v>
      </c>
      <c r="E197" s="214">
        <v>220</v>
      </c>
      <c r="F197" s="442">
        <f>+SUM(C197:C199)</f>
        <v>2965</v>
      </c>
      <c r="G197" s="445">
        <f>+SUM(D197:D199)</f>
        <v>534</v>
      </c>
      <c r="H197" s="447">
        <f>+SUM(E197:E199)</f>
        <v>465</v>
      </c>
      <c r="I197" s="442">
        <f>+AVERAGE(C197:C199)</f>
        <v>988.33333333333337</v>
      </c>
      <c r="J197" s="445">
        <f>+AVERAGE(D197:D199)</f>
        <v>178</v>
      </c>
      <c r="K197" s="447">
        <f>+AVERAGE(E197:E199)</f>
        <v>155</v>
      </c>
    </row>
    <row r="198" spans="2:11" ht="15.75" thickBot="1" x14ac:dyDescent="0.3">
      <c r="B198" s="488"/>
      <c r="C198" s="213">
        <v>351</v>
      </c>
      <c r="D198" s="213">
        <v>44</v>
      </c>
      <c r="E198" s="214">
        <v>61</v>
      </c>
      <c r="F198" s="442"/>
      <c r="G198" s="445"/>
      <c r="H198" s="447"/>
      <c r="I198" s="442"/>
      <c r="J198" s="445"/>
      <c r="K198" s="447"/>
    </row>
    <row r="199" spans="2:11" ht="15.75" thickBot="1" x14ac:dyDescent="0.3">
      <c r="B199" s="487"/>
      <c r="C199" s="213">
        <v>514</v>
      </c>
      <c r="D199" s="213">
        <v>135</v>
      </c>
      <c r="E199" s="214">
        <v>184</v>
      </c>
      <c r="F199" s="442"/>
      <c r="G199" s="445"/>
      <c r="H199" s="447"/>
      <c r="I199" s="442"/>
      <c r="J199" s="445"/>
      <c r="K199" s="447"/>
    </row>
    <row r="200" spans="2:11" ht="15.75" thickBot="1" x14ac:dyDescent="0.3">
      <c r="B200" s="225" t="s">
        <v>259</v>
      </c>
      <c r="C200" s="221">
        <v>246</v>
      </c>
      <c r="D200" s="221">
        <v>82</v>
      </c>
      <c r="E200" s="222">
        <v>25</v>
      </c>
      <c r="F200" s="226">
        <v>246</v>
      </c>
      <c r="G200" s="227">
        <v>82</v>
      </c>
      <c r="H200" s="228">
        <v>25</v>
      </c>
      <c r="I200" s="226">
        <v>246</v>
      </c>
      <c r="J200" s="227">
        <v>82</v>
      </c>
      <c r="K200" s="228">
        <v>25</v>
      </c>
    </row>
    <row r="201" spans="2:11" ht="15.75" thickBot="1" x14ac:dyDescent="0.3">
      <c r="B201" s="486" t="s">
        <v>254</v>
      </c>
      <c r="C201" s="213">
        <v>274</v>
      </c>
      <c r="D201" s="213">
        <v>108</v>
      </c>
      <c r="E201" s="214">
        <v>61</v>
      </c>
      <c r="F201" s="442">
        <f>+SUM(C201:C202)</f>
        <v>1017</v>
      </c>
      <c r="G201" s="445">
        <f>+SUM(D201:D202)</f>
        <v>324</v>
      </c>
      <c r="H201" s="447">
        <f>+SUM(E201:E202)</f>
        <v>346</v>
      </c>
      <c r="I201" s="442">
        <f>+AVERAGE(C201:C202)</f>
        <v>508.5</v>
      </c>
      <c r="J201" s="445">
        <f>+AVERAGE(D201:D202)</f>
        <v>162</v>
      </c>
      <c r="K201" s="447">
        <f>+AVERAGE(E201:E202)</f>
        <v>173</v>
      </c>
    </row>
    <row r="202" spans="2:11" ht="15.75" thickBot="1" x14ac:dyDescent="0.3">
      <c r="B202" s="487"/>
      <c r="C202" s="213">
        <v>743</v>
      </c>
      <c r="D202" s="213">
        <v>216</v>
      </c>
      <c r="E202" s="214">
        <v>285</v>
      </c>
      <c r="F202" s="442"/>
      <c r="G202" s="445"/>
      <c r="H202" s="447"/>
      <c r="I202" s="442"/>
      <c r="J202" s="445"/>
      <c r="K202" s="447"/>
    </row>
    <row r="203" spans="2:11" ht="15.75" thickBot="1" x14ac:dyDescent="0.3">
      <c r="B203" s="432" t="s">
        <v>384</v>
      </c>
      <c r="C203" s="221">
        <v>129</v>
      </c>
      <c r="D203" s="221">
        <v>84</v>
      </c>
      <c r="E203" s="222">
        <v>32</v>
      </c>
      <c r="F203" s="423">
        <f>+SUM(C203:C205)</f>
        <v>563</v>
      </c>
      <c r="G203" s="424">
        <f>+SUM(D203:D205)</f>
        <v>171</v>
      </c>
      <c r="H203" s="425">
        <f>+SUM(E203:E205)</f>
        <v>186</v>
      </c>
      <c r="I203" s="423">
        <f>+AVERAGE(C203:C205)</f>
        <v>187.66666666666666</v>
      </c>
      <c r="J203" s="424">
        <f>+AVERAGE(D203:D205)</f>
        <v>57</v>
      </c>
      <c r="K203" s="425">
        <f>+AVERAGE(E203:E205)</f>
        <v>62</v>
      </c>
    </row>
    <row r="204" spans="2:11" ht="15.75" thickBot="1" x14ac:dyDescent="0.3">
      <c r="B204" s="433"/>
      <c r="C204" s="221">
        <v>82</v>
      </c>
      <c r="D204" s="221">
        <v>33</v>
      </c>
      <c r="E204" s="222">
        <v>65</v>
      </c>
      <c r="F204" s="423"/>
      <c r="G204" s="424"/>
      <c r="H204" s="425"/>
      <c r="I204" s="423"/>
      <c r="J204" s="424"/>
      <c r="K204" s="425"/>
    </row>
    <row r="205" spans="2:11" ht="15.75" thickBot="1" x14ac:dyDescent="0.3">
      <c r="B205" s="434"/>
      <c r="C205" s="221">
        <v>352</v>
      </c>
      <c r="D205" s="221">
        <v>54</v>
      </c>
      <c r="E205" s="222">
        <v>89</v>
      </c>
      <c r="F205" s="423"/>
      <c r="G205" s="424"/>
      <c r="H205" s="425"/>
      <c r="I205" s="423"/>
      <c r="J205" s="424"/>
      <c r="K205" s="425"/>
    </row>
    <row r="206" spans="2:11" ht="15.75" thickBot="1" x14ac:dyDescent="0.3">
      <c r="B206" s="215" t="s">
        <v>383</v>
      </c>
      <c r="C206" s="213">
        <v>224</v>
      </c>
      <c r="D206" s="213">
        <v>80</v>
      </c>
      <c r="E206" s="214">
        <v>32</v>
      </c>
      <c r="F206" s="216">
        <v>224</v>
      </c>
      <c r="G206" s="217">
        <v>80</v>
      </c>
      <c r="H206" s="218">
        <v>32</v>
      </c>
      <c r="I206" s="216">
        <v>224</v>
      </c>
      <c r="J206" s="217">
        <v>80</v>
      </c>
      <c r="K206" s="218">
        <v>32</v>
      </c>
    </row>
    <row r="207" spans="2:11" ht="15.75" thickBot="1" x14ac:dyDescent="0.3">
      <c r="B207" s="432" t="s">
        <v>344</v>
      </c>
      <c r="C207" s="223">
        <v>2400</v>
      </c>
      <c r="D207" s="223">
        <v>132</v>
      </c>
      <c r="E207" s="224">
        <v>490</v>
      </c>
      <c r="F207" s="423">
        <f>+SUM(C207:C208)</f>
        <v>2638</v>
      </c>
      <c r="G207" s="424">
        <f>+SUM(D207:D208)</f>
        <v>161</v>
      </c>
      <c r="H207" s="425">
        <f>+SUM(E207:E208)</f>
        <v>524</v>
      </c>
      <c r="I207" s="423">
        <f>+AVERAGE(C207:C208)</f>
        <v>1319</v>
      </c>
      <c r="J207" s="424">
        <f>+AVERAGE(D207:D208)</f>
        <v>80.5</v>
      </c>
      <c r="K207" s="425">
        <f>+AVERAGE(E207:E208)</f>
        <v>262</v>
      </c>
    </row>
    <row r="208" spans="2:11" ht="15.75" thickBot="1" x14ac:dyDescent="0.3">
      <c r="B208" s="434"/>
      <c r="C208" s="221">
        <v>238</v>
      </c>
      <c r="D208" s="221">
        <v>29</v>
      </c>
      <c r="E208" s="222">
        <v>34</v>
      </c>
      <c r="F208" s="423"/>
      <c r="G208" s="424"/>
      <c r="H208" s="425"/>
      <c r="I208" s="423"/>
      <c r="J208" s="424"/>
      <c r="K208" s="425"/>
    </row>
    <row r="209" spans="1:34" ht="15.75" thickBot="1" x14ac:dyDescent="0.3">
      <c r="B209" s="486" t="s">
        <v>312</v>
      </c>
      <c r="C209" s="213">
        <v>120</v>
      </c>
      <c r="D209" s="213">
        <v>30</v>
      </c>
      <c r="E209" s="214">
        <v>23</v>
      </c>
      <c r="F209" s="442">
        <f>+SUM(C209:C210)</f>
        <v>815</v>
      </c>
      <c r="G209" s="445">
        <f>+SUM(D209:D210)</f>
        <v>109</v>
      </c>
      <c r="H209" s="447">
        <f>+SUM(E209:E210)</f>
        <v>138</v>
      </c>
      <c r="I209" s="442">
        <f>+AVERAGE(C209:C210)</f>
        <v>407.5</v>
      </c>
      <c r="J209" s="445">
        <f>+AVERAGE(D209:D210)</f>
        <v>54.5</v>
      </c>
      <c r="K209" s="447">
        <f>+AVERAGE(E209:E210)</f>
        <v>69</v>
      </c>
    </row>
    <row r="210" spans="1:34" ht="15.75" thickBot="1" x14ac:dyDescent="0.3">
      <c r="B210" s="487"/>
      <c r="C210" s="213">
        <v>695</v>
      </c>
      <c r="D210" s="213">
        <v>79</v>
      </c>
      <c r="E210" s="214">
        <v>115</v>
      </c>
      <c r="F210" s="442"/>
      <c r="G210" s="445"/>
      <c r="H210" s="447"/>
      <c r="I210" s="442"/>
      <c r="J210" s="445"/>
      <c r="K210" s="447"/>
    </row>
    <row r="211" spans="1:34" ht="15.75" thickBot="1" x14ac:dyDescent="0.3">
      <c r="B211" s="432" t="s">
        <v>321</v>
      </c>
      <c r="C211" s="221">
        <v>106</v>
      </c>
      <c r="D211" s="221">
        <v>44</v>
      </c>
      <c r="E211" s="222">
        <v>29</v>
      </c>
      <c r="F211" s="423">
        <f>+SUM(C211:C212)</f>
        <v>418</v>
      </c>
      <c r="G211" s="424">
        <f>+SUM(D211:D212)</f>
        <v>82</v>
      </c>
      <c r="H211" s="425">
        <f>+SUM(E211:E212)</f>
        <v>82</v>
      </c>
      <c r="I211" s="423">
        <f>+AVERAGE(C211:C212)</f>
        <v>209</v>
      </c>
      <c r="J211" s="424">
        <f>+AVERAGE(D211:D212)</f>
        <v>41</v>
      </c>
      <c r="K211" s="425">
        <f>+AVERAGE(E211:E212)</f>
        <v>41</v>
      </c>
    </row>
    <row r="212" spans="1:34" ht="15.75" thickBot="1" x14ac:dyDescent="0.3">
      <c r="B212" s="434"/>
      <c r="C212" s="221">
        <v>312</v>
      </c>
      <c r="D212" s="221">
        <v>38</v>
      </c>
      <c r="E212" s="222">
        <v>53</v>
      </c>
      <c r="F212" s="423"/>
      <c r="G212" s="424"/>
      <c r="H212" s="425"/>
      <c r="I212" s="423"/>
      <c r="J212" s="424"/>
      <c r="K212" s="425"/>
    </row>
    <row r="213" spans="1:34" ht="15.75" thickBot="1" x14ac:dyDescent="0.3">
      <c r="B213" s="486" t="s">
        <v>287</v>
      </c>
      <c r="C213" s="213">
        <v>479</v>
      </c>
      <c r="D213" s="213">
        <v>81</v>
      </c>
      <c r="E213" s="214">
        <v>147</v>
      </c>
      <c r="F213" s="442">
        <f>+SUM(C213:C214)</f>
        <v>733</v>
      </c>
      <c r="G213" s="445">
        <f>+SUM(D213:D214)</f>
        <v>162</v>
      </c>
      <c r="H213" s="447">
        <f>+SUM(E213:E214)</f>
        <v>197</v>
      </c>
      <c r="I213" s="442">
        <f>+AVERAGE(C213:C214)</f>
        <v>366.5</v>
      </c>
      <c r="J213" s="445">
        <f>+AVERAGE(D213:D214)</f>
        <v>81</v>
      </c>
      <c r="K213" s="447">
        <f>+AVERAGE(E213:E214)</f>
        <v>98.5</v>
      </c>
    </row>
    <row r="214" spans="1:34" ht="15.75" thickBot="1" x14ac:dyDescent="0.3">
      <c r="B214" s="487"/>
      <c r="C214" s="213">
        <v>254</v>
      </c>
      <c r="D214" s="213">
        <v>81</v>
      </c>
      <c r="E214" s="214">
        <v>50</v>
      </c>
      <c r="F214" s="442"/>
      <c r="G214" s="445"/>
      <c r="H214" s="447"/>
      <c r="I214" s="442"/>
      <c r="J214" s="445"/>
      <c r="K214" s="447"/>
    </row>
    <row r="215" spans="1:34" ht="15.75" thickBot="1" x14ac:dyDescent="0.3">
      <c r="B215" s="432" t="s">
        <v>340</v>
      </c>
      <c r="C215" s="221">
        <v>238</v>
      </c>
      <c r="D215" s="221">
        <v>34</v>
      </c>
      <c r="E215" s="222">
        <v>26</v>
      </c>
      <c r="F215" s="423">
        <f>+SUM(C215:C216)</f>
        <v>431</v>
      </c>
      <c r="G215" s="424">
        <f>+SUM(D215:D216)</f>
        <v>71</v>
      </c>
      <c r="H215" s="425">
        <f>+SUM(E215:E216)</f>
        <v>63</v>
      </c>
      <c r="I215" s="423">
        <f>+AVERAGE(C215:C216)</f>
        <v>215.5</v>
      </c>
      <c r="J215" s="424">
        <f>+AVERAGE(D215:D216)</f>
        <v>35.5</v>
      </c>
      <c r="K215" s="425">
        <f>+AVERAGE(E215:E216)</f>
        <v>31.5</v>
      </c>
    </row>
    <row r="216" spans="1:34" ht="15.75" thickBot="1" x14ac:dyDescent="0.3">
      <c r="B216" s="434"/>
      <c r="C216" s="221">
        <v>193</v>
      </c>
      <c r="D216" s="221">
        <v>37</v>
      </c>
      <c r="E216" s="222">
        <v>37</v>
      </c>
      <c r="F216" s="423"/>
      <c r="G216" s="424"/>
      <c r="H216" s="425"/>
      <c r="I216" s="423"/>
      <c r="J216" s="424"/>
      <c r="K216" s="425"/>
    </row>
    <row r="217" spans="1:34" ht="15.75" thickBot="1" x14ac:dyDescent="0.3">
      <c r="B217" s="486" t="s">
        <v>314</v>
      </c>
      <c r="C217" s="213">
        <v>154</v>
      </c>
      <c r="D217" s="213">
        <v>41</v>
      </c>
      <c r="E217" s="214">
        <v>26</v>
      </c>
      <c r="F217" s="442">
        <f>+SUM(C217:C219)</f>
        <v>260</v>
      </c>
      <c r="G217" s="445">
        <f>+SUM(D217:D219)</f>
        <v>82</v>
      </c>
      <c r="H217" s="447">
        <f>+SUM(E217:E219)</f>
        <v>47</v>
      </c>
      <c r="I217" s="442">
        <f>+AVERAGE(C217:C219)</f>
        <v>86.666666666666671</v>
      </c>
      <c r="J217" s="445">
        <f>+AVERAGE(D217:D219)</f>
        <v>27.333333333333332</v>
      </c>
      <c r="K217" s="447">
        <f>+AVERAGE(E217:E219)</f>
        <v>15.666666666666666</v>
      </c>
    </row>
    <row r="218" spans="1:34" ht="15.75" thickBot="1" x14ac:dyDescent="0.3">
      <c r="B218" s="488"/>
      <c r="C218" s="213">
        <v>50</v>
      </c>
      <c r="D218" s="213">
        <v>11</v>
      </c>
      <c r="E218" s="214">
        <v>4</v>
      </c>
      <c r="F218" s="442"/>
      <c r="G218" s="445"/>
      <c r="H218" s="447"/>
      <c r="I218" s="442"/>
      <c r="J218" s="445"/>
      <c r="K218" s="447"/>
    </row>
    <row r="219" spans="1:34" ht="15.75" thickBot="1" x14ac:dyDescent="0.3">
      <c r="B219" s="489"/>
      <c r="C219" s="219">
        <v>56</v>
      </c>
      <c r="D219" s="219">
        <v>30</v>
      </c>
      <c r="E219" s="220">
        <v>17</v>
      </c>
      <c r="F219" s="443"/>
      <c r="G219" s="449"/>
      <c r="H219" s="450"/>
      <c r="I219" s="443"/>
      <c r="J219" s="449"/>
      <c r="K219" s="450"/>
    </row>
    <row r="221" spans="1:34" x14ac:dyDescent="0.25">
      <c r="A221" s="13"/>
      <c r="B221" s="14"/>
      <c r="C221" s="13"/>
      <c r="D221" s="13"/>
      <c r="E221" s="13"/>
      <c r="F221" s="14"/>
      <c r="G221" s="14"/>
      <c r="H221" s="14"/>
      <c r="I221" s="14"/>
      <c r="J221" s="14"/>
      <c r="K221" s="14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</row>
    <row r="222" spans="1:34" ht="15.75" thickBot="1" x14ac:dyDescent="0.3">
      <c r="A222" s="7"/>
      <c r="B222" s="11"/>
      <c r="C222" s="7"/>
      <c r="D222" s="7"/>
      <c r="E222" s="7"/>
      <c r="F222" s="11"/>
      <c r="G222" s="11"/>
      <c r="H222" s="11"/>
      <c r="I222" s="11"/>
      <c r="J222" s="11"/>
      <c r="K222" s="11"/>
    </row>
    <row r="223" spans="1:34" ht="27" thickBot="1" x14ac:dyDescent="0.3">
      <c r="B223" s="439" t="s">
        <v>395</v>
      </c>
      <c r="C223" s="440"/>
      <c r="D223" s="440"/>
      <c r="E223" s="440"/>
      <c r="F223" s="440"/>
      <c r="G223" s="440"/>
      <c r="H223" s="440"/>
      <c r="I223" s="440"/>
      <c r="J223" s="440"/>
      <c r="K223" s="441"/>
    </row>
    <row r="224" spans="1:34" ht="21.75" thickBot="1" x14ac:dyDescent="0.4">
      <c r="B224" s="397" t="s">
        <v>396</v>
      </c>
      <c r="C224" s="398"/>
      <c r="D224" s="398"/>
      <c r="E224" s="398"/>
      <c r="F224" s="398"/>
      <c r="G224" s="398"/>
      <c r="H224" s="398"/>
      <c r="I224" s="398"/>
      <c r="J224" s="398"/>
      <c r="K224" s="399"/>
    </row>
    <row r="225" spans="1:17" ht="15.75" thickBot="1" x14ac:dyDescent="0.3">
      <c r="A225" s="7"/>
      <c r="B225" s="11"/>
      <c r="C225" s="7"/>
      <c r="D225" s="7"/>
      <c r="E225" s="7"/>
      <c r="F225" s="11"/>
      <c r="G225" s="11"/>
      <c r="H225" s="11"/>
      <c r="I225" s="11"/>
      <c r="J225" s="11"/>
      <c r="K225" s="11"/>
    </row>
    <row r="226" spans="1:17" ht="19.5" thickBot="1" x14ac:dyDescent="0.3">
      <c r="A226" s="7"/>
      <c r="B226" s="177"/>
      <c r="C226" s="178"/>
      <c r="D226" s="178"/>
      <c r="E226" s="178"/>
      <c r="F226" s="421" t="s">
        <v>389</v>
      </c>
      <c r="G226" s="421"/>
      <c r="H226" s="421"/>
      <c r="I226" s="421" t="s">
        <v>390</v>
      </c>
      <c r="J226" s="421"/>
      <c r="K226" s="422"/>
    </row>
    <row r="227" spans="1:17" ht="18.75" x14ac:dyDescent="0.25">
      <c r="B227" s="180" t="s">
        <v>253</v>
      </c>
      <c r="C227" s="179" t="s">
        <v>473</v>
      </c>
      <c r="D227" s="179" t="s">
        <v>267</v>
      </c>
      <c r="E227" s="179" t="s">
        <v>268</v>
      </c>
      <c r="F227" s="179" t="s">
        <v>473</v>
      </c>
      <c r="G227" s="179" t="s">
        <v>267</v>
      </c>
      <c r="H227" s="179" t="s">
        <v>268</v>
      </c>
      <c r="I227" s="179" t="s">
        <v>473</v>
      </c>
      <c r="J227" s="179" t="s">
        <v>267</v>
      </c>
      <c r="K227" s="181" t="s">
        <v>268</v>
      </c>
      <c r="N227" s="208" t="str">
        <f>B227</f>
        <v>Tema</v>
      </c>
      <c r="O227" s="209" t="str">
        <f t="shared" ref="O227:Q228" si="14">I227</f>
        <v>Gostos</v>
      </c>
      <c r="P227" s="209" t="str">
        <f t="shared" si="14"/>
        <v>Comentários</v>
      </c>
      <c r="Q227" s="210" t="str">
        <f t="shared" si="14"/>
        <v>Partilhas</v>
      </c>
    </row>
    <row r="228" spans="1:17" x14ac:dyDescent="0.25">
      <c r="B228" s="490" t="s">
        <v>257</v>
      </c>
      <c r="C228" s="182">
        <v>100</v>
      </c>
      <c r="D228" s="182">
        <v>32</v>
      </c>
      <c r="E228" s="183">
        <v>24</v>
      </c>
      <c r="F228" s="463">
        <f>+SUM(C228:C229)</f>
        <v>278</v>
      </c>
      <c r="G228" s="456">
        <f>+SUM(D228:D229)</f>
        <v>100</v>
      </c>
      <c r="H228" s="458">
        <f>+SUM(E228:E229)</f>
        <v>103</v>
      </c>
      <c r="I228" s="454">
        <f>+AVERAGE(C228:C229)</f>
        <v>139</v>
      </c>
      <c r="J228" s="456">
        <f>+AVERAGE(D228:D229)</f>
        <v>50</v>
      </c>
      <c r="K228" s="458">
        <f>+AVERAGE(E228:E229)</f>
        <v>51.5</v>
      </c>
      <c r="N228" s="78" t="str">
        <f>B228</f>
        <v>Ambiente</v>
      </c>
      <c r="O228" s="98">
        <f t="shared" si="14"/>
        <v>139</v>
      </c>
      <c r="P228" s="109">
        <f t="shared" si="14"/>
        <v>50</v>
      </c>
      <c r="Q228" s="99">
        <f t="shared" si="14"/>
        <v>51.5</v>
      </c>
    </row>
    <row r="229" spans="1:17" x14ac:dyDescent="0.25">
      <c r="B229" s="491"/>
      <c r="C229" s="184">
        <v>178</v>
      </c>
      <c r="D229" s="184">
        <v>68</v>
      </c>
      <c r="E229" s="185">
        <v>79</v>
      </c>
      <c r="F229" s="451"/>
      <c r="G229" s="457"/>
      <c r="H229" s="459"/>
      <c r="I229" s="455"/>
      <c r="J229" s="457"/>
      <c r="K229" s="459"/>
      <c r="N229" s="26" t="str">
        <f>B230</f>
        <v>Atividades PE</v>
      </c>
      <c r="O229" s="100">
        <f>I230</f>
        <v>208.8</v>
      </c>
      <c r="P229" s="100">
        <f>J230</f>
        <v>40.799999999999997</v>
      </c>
      <c r="Q229" s="101">
        <f>K230</f>
        <v>42.9</v>
      </c>
    </row>
    <row r="230" spans="1:17" x14ac:dyDescent="0.25">
      <c r="B230" s="500" t="s">
        <v>256</v>
      </c>
      <c r="C230" s="186">
        <v>129</v>
      </c>
      <c r="D230" s="186">
        <v>41</v>
      </c>
      <c r="E230" s="187">
        <v>42</v>
      </c>
      <c r="F230" s="453">
        <f>+SUM(C230:C239)</f>
        <v>2088</v>
      </c>
      <c r="G230" s="460">
        <f>+SUM(D230:D239)</f>
        <v>408</v>
      </c>
      <c r="H230" s="461">
        <f>+SUM(E230:E239)</f>
        <v>429</v>
      </c>
      <c r="I230" s="462">
        <f>+AVERAGE(C230:C239)</f>
        <v>208.8</v>
      </c>
      <c r="J230" s="460">
        <f>+AVERAGE(D230:D239)</f>
        <v>40.799999999999997</v>
      </c>
      <c r="K230" s="461">
        <f>+AVERAGE(E230:E239)</f>
        <v>42.9</v>
      </c>
      <c r="N230" s="78" t="str">
        <f>B240</f>
        <v>Brexit</v>
      </c>
      <c r="O230" s="98">
        <f>I240</f>
        <v>352</v>
      </c>
      <c r="P230" s="98">
        <f>J240</f>
        <v>119</v>
      </c>
      <c r="Q230" s="99">
        <f>K240</f>
        <v>75.5</v>
      </c>
    </row>
    <row r="231" spans="1:17" x14ac:dyDescent="0.25">
      <c r="B231" s="501"/>
      <c r="C231" s="188">
        <v>582</v>
      </c>
      <c r="D231" s="188">
        <v>51</v>
      </c>
      <c r="E231" s="189">
        <v>90</v>
      </c>
      <c r="F231" s="453"/>
      <c r="G231" s="460"/>
      <c r="H231" s="461"/>
      <c r="I231" s="462"/>
      <c r="J231" s="460"/>
      <c r="K231" s="461"/>
      <c r="N231" s="26" t="str">
        <f>B242</f>
        <v>Ciência</v>
      </c>
      <c r="O231" s="100">
        <f t="shared" ref="O231:Q232" si="15">I242</f>
        <v>708</v>
      </c>
      <c r="P231" s="100">
        <f t="shared" si="15"/>
        <v>32</v>
      </c>
      <c r="Q231" s="101">
        <f t="shared" si="15"/>
        <v>83</v>
      </c>
    </row>
    <row r="232" spans="1:17" x14ac:dyDescent="0.25">
      <c r="B232" s="501"/>
      <c r="C232" s="188">
        <v>364</v>
      </c>
      <c r="D232" s="188">
        <v>67</v>
      </c>
      <c r="E232" s="189">
        <v>64</v>
      </c>
      <c r="F232" s="453"/>
      <c r="G232" s="460"/>
      <c r="H232" s="461"/>
      <c r="I232" s="462"/>
      <c r="J232" s="460"/>
      <c r="K232" s="461"/>
      <c r="N232" s="78" t="str">
        <f>B243</f>
        <v>Cultura</v>
      </c>
      <c r="O232" s="229">
        <f t="shared" si="15"/>
        <v>169</v>
      </c>
      <c r="P232" s="98">
        <f t="shared" si="15"/>
        <v>23.333333333333332</v>
      </c>
      <c r="Q232" s="99">
        <f t="shared" si="15"/>
        <v>27.666666666666668</v>
      </c>
    </row>
    <row r="233" spans="1:17" x14ac:dyDescent="0.25">
      <c r="B233" s="501"/>
      <c r="C233" s="188">
        <v>147</v>
      </c>
      <c r="D233" s="188">
        <v>48</v>
      </c>
      <c r="E233" s="189">
        <v>82</v>
      </c>
      <c r="F233" s="453"/>
      <c r="G233" s="460"/>
      <c r="H233" s="461"/>
      <c r="I233" s="462"/>
      <c r="J233" s="460"/>
      <c r="K233" s="461"/>
      <c r="N233" s="26" t="str">
        <f>B246</f>
        <v>D&amp;C</v>
      </c>
      <c r="O233" s="100">
        <f t="shared" ref="O233:Q234" si="16">I246</f>
        <v>136</v>
      </c>
      <c r="P233" s="100">
        <f t="shared" si="16"/>
        <v>45</v>
      </c>
      <c r="Q233" s="101">
        <f t="shared" si="16"/>
        <v>24</v>
      </c>
    </row>
    <row r="234" spans="1:17" x14ac:dyDescent="0.25">
      <c r="B234" s="501"/>
      <c r="C234" s="188">
        <v>97</v>
      </c>
      <c r="D234" s="188">
        <v>32</v>
      </c>
      <c r="E234" s="189">
        <v>18</v>
      </c>
      <c r="F234" s="453"/>
      <c r="G234" s="460"/>
      <c r="H234" s="461"/>
      <c r="I234" s="462"/>
      <c r="J234" s="460"/>
      <c r="K234" s="461"/>
      <c r="N234" s="78" t="str">
        <f>B247</f>
        <v>DH</v>
      </c>
      <c r="O234" s="98">
        <f t="shared" si="16"/>
        <v>452</v>
      </c>
      <c r="P234" s="98">
        <f t="shared" si="16"/>
        <v>67</v>
      </c>
      <c r="Q234" s="99">
        <f t="shared" si="16"/>
        <v>114.5</v>
      </c>
    </row>
    <row r="235" spans="1:17" x14ac:dyDescent="0.25">
      <c r="B235" s="501"/>
      <c r="C235" s="188">
        <v>60</v>
      </c>
      <c r="D235" s="188">
        <v>29</v>
      </c>
      <c r="E235" s="189">
        <v>19</v>
      </c>
      <c r="F235" s="453"/>
      <c r="G235" s="460"/>
      <c r="H235" s="461"/>
      <c r="I235" s="462"/>
      <c r="J235" s="460"/>
      <c r="K235" s="461"/>
      <c r="N235" s="26" t="str">
        <f>B249</f>
        <v>Economia</v>
      </c>
      <c r="O235" s="100">
        <f t="shared" ref="O235:Q236" si="17">I249</f>
        <v>1900</v>
      </c>
      <c r="P235" s="100">
        <f t="shared" si="17"/>
        <v>81</v>
      </c>
      <c r="Q235" s="101">
        <f t="shared" si="17"/>
        <v>336</v>
      </c>
    </row>
    <row r="236" spans="1:17" x14ac:dyDescent="0.25">
      <c r="B236" s="501"/>
      <c r="C236" s="188">
        <v>62</v>
      </c>
      <c r="D236" s="188">
        <v>26</v>
      </c>
      <c r="E236" s="189">
        <v>12</v>
      </c>
      <c r="F236" s="453"/>
      <c r="G236" s="460"/>
      <c r="H236" s="461"/>
      <c r="I236" s="462"/>
      <c r="J236" s="460"/>
      <c r="K236" s="461"/>
      <c r="N236" s="78" t="str">
        <f>B250</f>
        <v>Efemérides</v>
      </c>
      <c r="O236" s="98">
        <f t="shared" si="17"/>
        <v>1068.5</v>
      </c>
      <c r="P236" s="98">
        <f t="shared" si="17"/>
        <v>34</v>
      </c>
      <c r="Q236" s="99">
        <f t="shared" si="17"/>
        <v>131.5</v>
      </c>
    </row>
    <row r="237" spans="1:17" x14ac:dyDescent="0.25">
      <c r="B237" s="501"/>
      <c r="C237" s="188">
        <v>71</v>
      </c>
      <c r="D237" s="188">
        <v>29</v>
      </c>
      <c r="E237" s="189">
        <v>12</v>
      </c>
      <c r="F237" s="453"/>
      <c r="G237" s="460"/>
      <c r="H237" s="461"/>
      <c r="I237" s="462"/>
      <c r="J237" s="460"/>
      <c r="K237" s="461"/>
      <c r="N237" s="26" t="str">
        <f>B252</f>
        <v>Faits-Divers</v>
      </c>
      <c r="O237" s="100">
        <f>I252</f>
        <v>1167.3333333333333</v>
      </c>
      <c r="P237" s="100">
        <f>J252</f>
        <v>100</v>
      </c>
      <c r="Q237" s="101">
        <f>K252</f>
        <v>76.333333333333329</v>
      </c>
    </row>
    <row r="238" spans="1:17" x14ac:dyDescent="0.25">
      <c r="B238" s="501"/>
      <c r="C238" s="188">
        <v>197</v>
      </c>
      <c r="D238" s="188">
        <v>34</v>
      </c>
      <c r="E238" s="189">
        <v>28</v>
      </c>
      <c r="F238" s="453"/>
      <c r="G238" s="460"/>
      <c r="H238" s="461"/>
      <c r="I238" s="462"/>
      <c r="J238" s="460"/>
      <c r="K238" s="461"/>
      <c r="N238" s="78" t="str">
        <f>B255</f>
        <v>Informações Úteis</v>
      </c>
      <c r="O238" s="98">
        <f>I255</f>
        <v>174.4</v>
      </c>
      <c r="P238" s="98">
        <f>J255</f>
        <v>27</v>
      </c>
      <c r="Q238" s="99">
        <f>K255</f>
        <v>39.4</v>
      </c>
    </row>
    <row r="239" spans="1:17" x14ac:dyDescent="0.25">
      <c r="B239" s="502"/>
      <c r="C239" s="188">
        <v>379</v>
      </c>
      <c r="D239" s="188">
        <v>51</v>
      </c>
      <c r="E239" s="189">
        <v>62</v>
      </c>
      <c r="F239" s="453"/>
      <c r="G239" s="460"/>
      <c r="H239" s="461"/>
      <c r="I239" s="462"/>
      <c r="J239" s="460"/>
      <c r="K239" s="461"/>
      <c r="N239" s="26" t="str">
        <f>B260</f>
        <v>Juventude</v>
      </c>
      <c r="O239" s="100">
        <f t="shared" ref="O239:Q240" si="18">I260</f>
        <v>531</v>
      </c>
      <c r="P239" s="100">
        <f t="shared" si="18"/>
        <v>24</v>
      </c>
      <c r="Q239" s="101">
        <f t="shared" si="18"/>
        <v>136</v>
      </c>
    </row>
    <row r="240" spans="1:17" x14ac:dyDescent="0.25">
      <c r="B240" s="495" t="s">
        <v>294</v>
      </c>
      <c r="C240" s="190">
        <v>531</v>
      </c>
      <c r="D240" s="190">
        <v>146</v>
      </c>
      <c r="E240" s="191">
        <v>106</v>
      </c>
      <c r="F240" s="453">
        <f>+SUM(C240:C241)</f>
        <v>704</v>
      </c>
      <c r="G240" s="460">
        <f>+SUM(D240:D241)</f>
        <v>238</v>
      </c>
      <c r="H240" s="461">
        <f>+SUM(E240:E241)</f>
        <v>151</v>
      </c>
      <c r="I240" s="462">
        <f>+AVERAGE(C240:C241)</f>
        <v>352</v>
      </c>
      <c r="J240" s="460">
        <f>+AVERAGE(D240:D241)</f>
        <v>119</v>
      </c>
      <c r="K240" s="461">
        <f>+AVERAGE(E240:E241)</f>
        <v>75.5</v>
      </c>
      <c r="N240" s="121" t="str">
        <f>B261</f>
        <v>Multilinguismo</v>
      </c>
      <c r="O240" s="98">
        <f t="shared" si="18"/>
        <v>670.66666666666663</v>
      </c>
      <c r="P240" s="98">
        <f t="shared" si="18"/>
        <v>75.666666666666671</v>
      </c>
      <c r="Q240" s="99">
        <f t="shared" si="18"/>
        <v>142.66666666666666</v>
      </c>
    </row>
    <row r="241" spans="2:17" x14ac:dyDescent="0.25">
      <c r="B241" s="497"/>
      <c r="C241" s="192">
        <v>173</v>
      </c>
      <c r="D241" s="192">
        <v>92</v>
      </c>
      <c r="E241" s="193">
        <v>45</v>
      </c>
      <c r="F241" s="453"/>
      <c r="G241" s="460"/>
      <c r="H241" s="461"/>
      <c r="I241" s="462"/>
      <c r="J241" s="460"/>
      <c r="K241" s="461"/>
      <c r="N241" s="26" t="str">
        <f>B264</f>
        <v>Outros</v>
      </c>
      <c r="O241" s="100">
        <f>I264</f>
        <v>213.5</v>
      </c>
      <c r="P241" s="100">
        <f>J264</f>
        <v>45</v>
      </c>
      <c r="Q241" s="101">
        <f>K264</f>
        <v>56</v>
      </c>
    </row>
    <row r="242" spans="2:17" x14ac:dyDescent="0.25">
      <c r="B242" s="199" t="s">
        <v>349</v>
      </c>
      <c r="C242" s="200">
        <v>708</v>
      </c>
      <c r="D242" s="200">
        <v>32</v>
      </c>
      <c r="E242" s="201">
        <v>83</v>
      </c>
      <c r="F242" s="202">
        <v>708</v>
      </c>
      <c r="G242" s="203">
        <v>32</v>
      </c>
      <c r="H242" s="204">
        <v>83</v>
      </c>
      <c r="I242" s="205">
        <v>708</v>
      </c>
      <c r="J242" s="203">
        <v>32</v>
      </c>
      <c r="K242" s="204">
        <v>83</v>
      </c>
      <c r="N242" s="78" t="str">
        <f>B266</f>
        <v>Refugiados</v>
      </c>
      <c r="O242" s="98">
        <f>I266</f>
        <v>1797.5</v>
      </c>
      <c r="P242" s="98">
        <f>J266</f>
        <v>173.25</v>
      </c>
      <c r="Q242" s="99">
        <f>K266</f>
        <v>765.625</v>
      </c>
    </row>
    <row r="243" spans="2:17" x14ac:dyDescent="0.25">
      <c r="B243" s="495" t="s">
        <v>334</v>
      </c>
      <c r="C243" s="192">
        <v>64</v>
      </c>
      <c r="D243" s="192">
        <v>30</v>
      </c>
      <c r="E243" s="193">
        <v>16</v>
      </c>
      <c r="F243" s="453">
        <f>+SUM(C243:C245)</f>
        <v>507</v>
      </c>
      <c r="G243" s="460">
        <f>+SUM(D243:D245)</f>
        <v>70</v>
      </c>
      <c r="H243" s="461">
        <f>+SUM(E243:E245)</f>
        <v>83</v>
      </c>
      <c r="I243" s="462">
        <f>+AVERAGE(C243:C245)</f>
        <v>169</v>
      </c>
      <c r="J243" s="460">
        <f>+AVERAGE(D243:D245)</f>
        <v>23.333333333333332</v>
      </c>
      <c r="K243" s="461">
        <f>+AVERAGE(E243:E245)</f>
        <v>27.666666666666668</v>
      </c>
      <c r="N243" s="26" t="str">
        <f>B274</f>
        <v>Relações EM</v>
      </c>
      <c r="O243" s="100">
        <f t="shared" ref="O243:Q244" si="19">I274</f>
        <v>617</v>
      </c>
      <c r="P243" s="100">
        <f t="shared" si="19"/>
        <v>111</v>
      </c>
      <c r="Q243" s="101">
        <f t="shared" si="19"/>
        <v>95</v>
      </c>
    </row>
    <row r="244" spans="2:17" x14ac:dyDescent="0.25">
      <c r="B244" s="496"/>
      <c r="C244" s="192">
        <v>189</v>
      </c>
      <c r="D244" s="192">
        <v>19</v>
      </c>
      <c r="E244" s="193">
        <v>20</v>
      </c>
      <c r="F244" s="453"/>
      <c r="G244" s="460"/>
      <c r="H244" s="461"/>
      <c r="I244" s="462"/>
      <c r="J244" s="460"/>
      <c r="K244" s="461"/>
      <c r="N244" s="78" t="str">
        <f>B275</f>
        <v>Relações ExtraUE</v>
      </c>
      <c r="O244" s="98">
        <f t="shared" si="19"/>
        <v>281.5</v>
      </c>
      <c r="P244" s="98">
        <f t="shared" si="19"/>
        <v>48.5</v>
      </c>
      <c r="Q244" s="99">
        <f t="shared" si="19"/>
        <v>61</v>
      </c>
    </row>
    <row r="245" spans="2:17" x14ac:dyDescent="0.25">
      <c r="B245" s="497"/>
      <c r="C245" s="192">
        <v>254</v>
      </c>
      <c r="D245" s="192">
        <v>21</v>
      </c>
      <c r="E245" s="193">
        <v>47</v>
      </c>
      <c r="F245" s="453"/>
      <c r="G245" s="460"/>
      <c r="H245" s="461"/>
      <c r="I245" s="462"/>
      <c r="J245" s="460"/>
      <c r="K245" s="461"/>
      <c r="N245" s="26" t="str">
        <f>B277</f>
        <v>Saúde</v>
      </c>
      <c r="O245" s="100">
        <f>I277</f>
        <v>248.33333333333334</v>
      </c>
      <c r="P245" s="100">
        <f>J277</f>
        <v>34</v>
      </c>
      <c r="Q245" s="101">
        <f>K277</f>
        <v>88.333333333333329</v>
      </c>
    </row>
    <row r="246" spans="2:17" x14ac:dyDescent="0.25">
      <c r="B246" s="199" t="s">
        <v>365</v>
      </c>
      <c r="C246" s="200">
        <v>136</v>
      </c>
      <c r="D246" s="200">
        <v>45</v>
      </c>
      <c r="E246" s="201">
        <v>24</v>
      </c>
      <c r="F246" s="202">
        <v>136</v>
      </c>
      <c r="G246" s="203">
        <v>45</v>
      </c>
      <c r="H246" s="204">
        <v>24</v>
      </c>
      <c r="I246" s="205">
        <v>136</v>
      </c>
      <c r="J246" s="203">
        <v>45</v>
      </c>
      <c r="K246" s="204">
        <v>24</v>
      </c>
      <c r="N246" s="78" t="str">
        <f>B280</f>
        <v>Segurança</v>
      </c>
      <c r="O246" s="98">
        <f>I280</f>
        <v>8690.3333333333339</v>
      </c>
      <c r="P246" s="98">
        <f>J280</f>
        <v>337.33333333333331</v>
      </c>
      <c r="Q246" s="99">
        <f>K280</f>
        <v>2970.6666666666665</v>
      </c>
    </row>
    <row r="247" spans="2:17" x14ac:dyDescent="0.25">
      <c r="B247" s="495" t="s">
        <v>328</v>
      </c>
      <c r="C247" s="192">
        <v>585</v>
      </c>
      <c r="D247" s="192">
        <v>95</v>
      </c>
      <c r="E247" s="193">
        <v>163</v>
      </c>
      <c r="F247" s="453">
        <f>+SUM(C247:C248)</f>
        <v>904</v>
      </c>
      <c r="G247" s="460">
        <f>+SUM(D247:D248)</f>
        <v>134</v>
      </c>
      <c r="H247" s="461">
        <f>+SUM(E247:E248)</f>
        <v>229</v>
      </c>
      <c r="I247" s="462">
        <f>+AVERAGE(C247:C248)</f>
        <v>452</v>
      </c>
      <c r="J247" s="460">
        <f>+AVERAGE(D247:D248)</f>
        <v>67</v>
      </c>
      <c r="K247" s="461">
        <f>+AVERAGE(E247:E248)</f>
        <v>114.5</v>
      </c>
      <c r="N247" s="26" t="str">
        <f>B283</f>
        <v>Segurança Online</v>
      </c>
      <c r="O247" s="100">
        <f t="shared" ref="O247:Q249" si="20">I283</f>
        <v>321</v>
      </c>
      <c r="P247" s="100">
        <f t="shared" si="20"/>
        <v>26</v>
      </c>
      <c r="Q247" s="101">
        <f t="shared" si="20"/>
        <v>51</v>
      </c>
    </row>
    <row r="248" spans="2:17" x14ac:dyDescent="0.25">
      <c r="B248" s="497"/>
      <c r="C248" s="192">
        <v>319</v>
      </c>
      <c r="D248" s="192">
        <v>39</v>
      </c>
      <c r="E248" s="193">
        <v>66</v>
      </c>
      <c r="F248" s="453"/>
      <c r="G248" s="460"/>
      <c r="H248" s="461"/>
      <c r="I248" s="462"/>
      <c r="J248" s="460"/>
      <c r="K248" s="461"/>
      <c r="N248" s="78" t="str">
        <f>B284</f>
        <v>TiSA</v>
      </c>
      <c r="O248" s="98">
        <f t="shared" si="20"/>
        <v>91</v>
      </c>
      <c r="P248" s="98">
        <f t="shared" si="20"/>
        <v>20</v>
      </c>
      <c r="Q248" s="99">
        <f t="shared" si="20"/>
        <v>14</v>
      </c>
    </row>
    <row r="249" spans="2:17" ht="15.75" thickBot="1" x14ac:dyDescent="0.3">
      <c r="B249" s="199" t="s">
        <v>295</v>
      </c>
      <c r="C249" s="200">
        <v>1900</v>
      </c>
      <c r="D249" s="200">
        <v>81</v>
      </c>
      <c r="E249" s="201">
        <v>336</v>
      </c>
      <c r="F249" s="202">
        <v>1900</v>
      </c>
      <c r="G249" s="203">
        <v>81</v>
      </c>
      <c r="H249" s="204">
        <v>336</v>
      </c>
      <c r="I249" s="205">
        <v>1900</v>
      </c>
      <c r="J249" s="203">
        <v>81</v>
      </c>
      <c r="K249" s="204">
        <v>336</v>
      </c>
      <c r="N249" s="27" t="str">
        <f>B285</f>
        <v>TTIP</v>
      </c>
      <c r="O249" s="102">
        <f t="shared" si="20"/>
        <v>178</v>
      </c>
      <c r="P249" s="102">
        <f t="shared" si="20"/>
        <v>35.666666666666664</v>
      </c>
      <c r="Q249" s="103">
        <f t="shared" si="20"/>
        <v>44.666666666666664</v>
      </c>
    </row>
    <row r="250" spans="2:17" x14ac:dyDescent="0.25">
      <c r="B250" s="495" t="s">
        <v>380</v>
      </c>
      <c r="C250" s="192">
        <v>1800</v>
      </c>
      <c r="D250" s="192">
        <v>46</v>
      </c>
      <c r="E250" s="193">
        <v>235</v>
      </c>
      <c r="F250" s="453">
        <f>+SUM(C250:C251)</f>
        <v>2137</v>
      </c>
      <c r="G250" s="460">
        <f>+SUM(D250:D251)</f>
        <v>68</v>
      </c>
      <c r="H250" s="461">
        <f>+SUM(E250:E251)</f>
        <v>263</v>
      </c>
      <c r="I250" s="462">
        <f>+AVERAGE(C250:C251)</f>
        <v>1068.5</v>
      </c>
      <c r="J250" s="460">
        <f>+AVERAGE(D250:D251)</f>
        <v>34</v>
      </c>
      <c r="K250" s="461">
        <f>+AVERAGE(E250:E251)</f>
        <v>131.5</v>
      </c>
    </row>
    <row r="251" spans="2:17" x14ac:dyDescent="0.25">
      <c r="B251" s="497"/>
      <c r="C251" s="192">
        <v>337</v>
      </c>
      <c r="D251" s="192">
        <v>22</v>
      </c>
      <c r="E251" s="193">
        <v>28</v>
      </c>
      <c r="F251" s="453"/>
      <c r="G251" s="460"/>
      <c r="H251" s="461"/>
      <c r="I251" s="462"/>
      <c r="J251" s="460"/>
      <c r="K251" s="461"/>
    </row>
    <row r="252" spans="2:17" x14ac:dyDescent="0.25">
      <c r="B252" s="499" t="s">
        <v>478</v>
      </c>
      <c r="C252" s="200">
        <v>702</v>
      </c>
      <c r="D252" s="200">
        <v>124</v>
      </c>
      <c r="E252" s="201">
        <v>48</v>
      </c>
      <c r="F252" s="451">
        <f>+SUM(C252:C254)</f>
        <v>3502</v>
      </c>
      <c r="G252" s="457">
        <f>+SUM(D252:D254)</f>
        <v>300</v>
      </c>
      <c r="H252" s="459">
        <f>+SUM(E252:E254)</f>
        <v>229</v>
      </c>
      <c r="I252" s="455">
        <f>+AVERAGE(C252:C254)</f>
        <v>1167.3333333333333</v>
      </c>
      <c r="J252" s="457">
        <f>+AVERAGE(D252:D254)</f>
        <v>100</v>
      </c>
      <c r="K252" s="459">
        <f>+AVERAGE(E252:E254)</f>
        <v>76.333333333333329</v>
      </c>
    </row>
    <row r="253" spans="2:17" x14ac:dyDescent="0.25">
      <c r="B253" s="493"/>
      <c r="C253" s="200">
        <v>1200</v>
      </c>
      <c r="D253" s="200">
        <v>116</v>
      </c>
      <c r="E253" s="201">
        <v>120</v>
      </c>
      <c r="F253" s="451"/>
      <c r="G253" s="457"/>
      <c r="H253" s="459"/>
      <c r="I253" s="455"/>
      <c r="J253" s="457"/>
      <c r="K253" s="459"/>
    </row>
    <row r="254" spans="2:17" x14ac:dyDescent="0.25">
      <c r="B254" s="498"/>
      <c r="C254" s="200">
        <v>1600</v>
      </c>
      <c r="D254" s="200">
        <v>60</v>
      </c>
      <c r="E254" s="201">
        <v>61</v>
      </c>
      <c r="F254" s="451"/>
      <c r="G254" s="457"/>
      <c r="H254" s="459"/>
      <c r="I254" s="455"/>
      <c r="J254" s="457"/>
      <c r="K254" s="459"/>
    </row>
    <row r="255" spans="2:17" x14ac:dyDescent="0.25">
      <c r="B255" s="495" t="s">
        <v>285</v>
      </c>
      <c r="C255" s="192">
        <v>345</v>
      </c>
      <c r="D255" s="192">
        <v>37</v>
      </c>
      <c r="E255" s="193">
        <v>36</v>
      </c>
      <c r="F255" s="453">
        <f>+SUM(C255:C259)</f>
        <v>872</v>
      </c>
      <c r="G255" s="460">
        <f>+SUM(D255:D259)</f>
        <v>135</v>
      </c>
      <c r="H255" s="461">
        <f>+SUM(E255:E259)</f>
        <v>197</v>
      </c>
      <c r="I255" s="462">
        <f>+AVERAGE(C255:C259)</f>
        <v>174.4</v>
      </c>
      <c r="J255" s="460">
        <f>+AVERAGE(D255:D259)</f>
        <v>27</v>
      </c>
      <c r="K255" s="461">
        <f>+AVERAGE(E255:E259)</f>
        <v>39.4</v>
      </c>
    </row>
    <row r="256" spans="2:17" x14ac:dyDescent="0.25">
      <c r="B256" s="496"/>
      <c r="C256" s="190">
        <v>132</v>
      </c>
      <c r="D256" s="190">
        <v>22</v>
      </c>
      <c r="E256" s="191">
        <v>50</v>
      </c>
      <c r="F256" s="453"/>
      <c r="G256" s="460"/>
      <c r="H256" s="461"/>
      <c r="I256" s="462"/>
      <c r="J256" s="460"/>
      <c r="K256" s="461"/>
    </row>
    <row r="257" spans="2:11" x14ac:dyDescent="0.25">
      <c r="B257" s="496"/>
      <c r="C257" s="192">
        <v>84</v>
      </c>
      <c r="D257" s="192">
        <v>20</v>
      </c>
      <c r="E257" s="193">
        <v>21</v>
      </c>
      <c r="F257" s="453"/>
      <c r="G257" s="460"/>
      <c r="H257" s="461"/>
      <c r="I257" s="462"/>
      <c r="J257" s="460"/>
      <c r="K257" s="461"/>
    </row>
    <row r="258" spans="2:11" x14ac:dyDescent="0.25">
      <c r="B258" s="496"/>
      <c r="C258" s="192">
        <v>128</v>
      </c>
      <c r="D258" s="192">
        <v>26</v>
      </c>
      <c r="E258" s="193">
        <v>24</v>
      </c>
      <c r="F258" s="453"/>
      <c r="G258" s="460"/>
      <c r="H258" s="461"/>
      <c r="I258" s="462"/>
      <c r="J258" s="460"/>
      <c r="K258" s="461"/>
    </row>
    <row r="259" spans="2:11" x14ac:dyDescent="0.25">
      <c r="B259" s="497"/>
      <c r="C259" s="190">
        <v>183</v>
      </c>
      <c r="D259" s="190">
        <v>30</v>
      </c>
      <c r="E259" s="191">
        <v>66</v>
      </c>
      <c r="F259" s="453"/>
      <c r="G259" s="460"/>
      <c r="H259" s="461"/>
      <c r="I259" s="462"/>
      <c r="J259" s="460"/>
      <c r="K259" s="461"/>
    </row>
    <row r="260" spans="2:11" x14ac:dyDescent="0.25">
      <c r="B260" s="199" t="s">
        <v>337</v>
      </c>
      <c r="C260" s="200">
        <v>531</v>
      </c>
      <c r="D260" s="200">
        <v>24</v>
      </c>
      <c r="E260" s="201">
        <v>136</v>
      </c>
      <c r="F260" s="202">
        <v>531</v>
      </c>
      <c r="G260" s="203">
        <v>24</v>
      </c>
      <c r="H260" s="204">
        <v>136</v>
      </c>
      <c r="I260" s="205">
        <v>531</v>
      </c>
      <c r="J260" s="203">
        <v>24</v>
      </c>
      <c r="K260" s="204">
        <v>136</v>
      </c>
    </row>
    <row r="261" spans="2:11" x14ac:dyDescent="0.25">
      <c r="B261" s="495" t="s">
        <v>309</v>
      </c>
      <c r="C261" s="192">
        <v>74</v>
      </c>
      <c r="D261" s="192">
        <v>28</v>
      </c>
      <c r="E261" s="193">
        <v>32</v>
      </c>
      <c r="F261" s="453">
        <f>+SUM(C261:C263)</f>
        <v>2012</v>
      </c>
      <c r="G261" s="460">
        <f>+SUM(D261:D263)</f>
        <v>227</v>
      </c>
      <c r="H261" s="461">
        <f>+SUM(E261:E263)</f>
        <v>428</v>
      </c>
      <c r="I261" s="462">
        <f>+AVERAGE(C261:C263)</f>
        <v>670.66666666666663</v>
      </c>
      <c r="J261" s="460">
        <f>+AVERAGE(D261:D263)</f>
        <v>75.666666666666671</v>
      </c>
      <c r="K261" s="461">
        <f>+AVERAGE(E261:E263)</f>
        <v>142.66666666666666</v>
      </c>
    </row>
    <row r="262" spans="2:11" x14ac:dyDescent="0.25">
      <c r="B262" s="496"/>
      <c r="C262" s="192">
        <v>638</v>
      </c>
      <c r="D262" s="192">
        <v>112</v>
      </c>
      <c r="E262" s="193">
        <v>168</v>
      </c>
      <c r="F262" s="453"/>
      <c r="G262" s="460"/>
      <c r="H262" s="461"/>
      <c r="I262" s="462"/>
      <c r="J262" s="460"/>
      <c r="K262" s="461"/>
    </row>
    <row r="263" spans="2:11" x14ac:dyDescent="0.25">
      <c r="B263" s="497"/>
      <c r="C263" s="192">
        <v>1300</v>
      </c>
      <c r="D263" s="192">
        <v>87</v>
      </c>
      <c r="E263" s="193">
        <v>228</v>
      </c>
      <c r="F263" s="453"/>
      <c r="G263" s="460"/>
      <c r="H263" s="461"/>
      <c r="I263" s="462"/>
      <c r="J263" s="460"/>
      <c r="K263" s="461"/>
    </row>
    <row r="264" spans="2:11" x14ac:dyDescent="0.25">
      <c r="B264" s="492" t="s">
        <v>391</v>
      </c>
      <c r="C264" s="200">
        <v>147</v>
      </c>
      <c r="D264" s="200">
        <v>26</v>
      </c>
      <c r="E264" s="201">
        <v>51</v>
      </c>
      <c r="F264" s="451">
        <f>+SUM(C264:C265)</f>
        <v>427</v>
      </c>
      <c r="G264" s="457">
        <f>+SUM(D264:D265)</f>
        <v>90</v>
      </c>
      <c r="H264" s="459">
        <f>+SUM(E264:E265)</f>
        <v>112</v>
      </c>
      <c r="I264" s="455">
        <f>+AVERAGE(C264:C265)</f>
        <v>213.5</v>
      </c>
      <c r="J264" s="457">
        <f>+AVERAGE(D264:D265)</f>
        <v>45</v>
      </c>
      <c r="K264" s="459">
        <f>+AVERAGE(E264:E265)</f>
        <v>56</v>
      </c>
    </row>
    <row r="265" spans="2:11" x14ac:dyDescent="0.25">
      <c r="B265" s="498"/>
      <c r="C265" s="200">
        <v>280</v>
      </c>
      <c r="D265" s="200">
        <v>64</v>
      </c>
      <c r="E265" s="201">
        <v>61</v>
      </c>
      <c r="F265" s="451"/>
      <c r="G265" s="457"/>
      <c r="H265" s="459"/>
      <c r="I265" s="455"/>
      <c r="J265" s="457"/>
      <c r="K265" s="459"/>
    </row>
    <row r="266" spans="2:11" x14ac:dyDescent="0.25">
      <c r="B266" s="495" t="s">
        <v>254</v>
      </c>
      <c r="C266" s="192">
        <v>1400</v>
      </c>
      <c r="D266" s="192">
        <v>59</v>
      </c>
      <c r="E266" s="193">
        <v>136</v>
      </c>
      <c r="F266" s="453">
        <f>+SUM(C266:C273)</f>
        <v>14380</v>
      </c>
      <c r="G266" s="460">
        <f>+SUM(D266:D273)</f>
        <v>1386</v>
      </c>
      <c r="H266" s="461">
        <f>+SUM(E266:E273)</f>
        <v>6125</v>
      </c>
      <c r="I266" s="462">
        <f>+AVERAGE(C266:C273)</f>
        <v>1797.5</v>
      </c>
      <c r="J266" s="460">
        <f>+AVERAGE(D266:D273)</f>
        <v>173.25</v>
      </c>
      <c r="K266" s="461">
        <f>+AVERAGE(E266:E273)</f>
        <v>765.625</v>
      </c>
    </row>
    <row r="267" spans="2:11" x14ac:dyDescent="0.25">
      <c r="B267" s="496"/>
      <c r="C267" s="192">
        <v>373</v>
      </c>
      <c r="D267" s="192">
        <v>91</v>
      </c>
      <c r="E267" s="193">
        <v>61</v>
      </c>
      <c r="F267" s="453"/>
      <c r="G267" s="460"/>
      <c r="H267" s="461"/>
      <c r="I267" s="462"/>
      <c r="J267" s="460"/>
      <c r="K267" s="461"/>
    </row>
    <row r="268" spans="2:11" x14ac:dyDescent="0.25">
      <c r="B268" s="496"/>
      <c r="C268" s="192">
        <v>205</v>
      </c>
      <c r="D268" s="192">
        <v>76</v>
      </c>
      <c r="E268" s="193">
        <v>47</v>
      </c>
      <c r="F268" s="453"/>
      <c r="G268" s="460"/>
      <c r="H268" s="461"/>
      <c r="I268" s="462"/>
      <c r="J268" s="460"/>
      <c r="K268" s="461"/>
    </row>
    <row r="269" spans="2:11" x14ac:dyDescent="0.25">
      <c r="B269" s="496"/>
      <c r="C269" s="192">
        <v>11000</v>
      </c>
      <c r="D269" s="192">
        <v>843</v>
      </c>
      <c r="E269" s="193">
        <v>5358</v>
      </c>
      <c r="F269" s="453"/>
      <c r="G269" s="460"/>
      <c r="H269" s="461"/>
      <c r="I269" s="462"/>
      <c r="J269" s="460"/>
      <c r="K269" s="461"/>
    </row>
    <row r="270" spans="2:11" x14ac:dyDescent="0.25">
      <c r="B270" s="496"/>
      <c r="C270" s="192">
        <v>102</v>
      </c>
      <c r="D270" s="192">
        <v>39</v>
      </c>
      <c r="E270" s="193">
        <v>30</v>
      </c>
      <c r="F270" s="453"/>
      <c r="G270" s="460"/>
      <c r="H270" s="461"/>
      <c r="I270" s="462"/>
      <c r="J270" s="460"/>
      <c r="K270" s="461"/>
    </row>
    <row r="271" spans="2:11" x14ac:dyDescent="0.25">
      <c r="B271" s="496"/>
      <c r="C271" s="192">
        <v>204</v>
      </c>
      <c r="D271" s="192">
        <v>10</v>
      </c>
      <c r="E271" s="193">
        <v>66</v>
      </c>
      <c r="F271" s="453"/>
      <c r="G271" s="460"/>
      <c r="H271" s="461"/>
      <c r="I271" s="462"/>
      <c r="J271" s="460"/>
      <c r="K271" s="461"/>
    </row>
    <row r="272" spans="2:11" x14ac:dyDescent="0.25">
      <c r="B272" s="496"/>
      <c r="C272" s="192">
        <v>664</v>
      </c>
      <c r="D272" s="192">
        <v>185</v>
      </c>
      <c r="E272" s="193">
        <v>306</v>
      </c>
      <c r="F272" s="453"/>
      <c r="G272" s="460"/>
      <c r="H272" s="461"/>
      <c r="I272" s="462"/>
      <c r="J272" s="460"/>
      <c r="K272" s="461"/>
    </row>
    <row r="273" spans="2:11" x14ac:dyDescent="0.25">
      <c r="B273" s="497"/>
      <c r="C273" s="192">
        <v>432</v>
      </c>
      <c r="D273" s="192">
        <v>83</v>
      </c>
      <c r="E273" s="193">
        <v>121</v>
      </c>
      <c r="F273" s="453"/>
      <c r="G273" s="460"/>
      <c r="H273" s="461"/>
      <c r="I273" s="462"/>
      <c r="J273" s="460"/>
      <c r="K273" s="461"/>
    </row>
    <row r="274" spans="2:11" x14ac:dyDescent="0.25">
      <c r="B274" s="199" t="s">
        <v>384</v>
      </c>
      <c r="C274" s="200">
        <v>617</v>
      </c>
      <c r="D274" s="200">
        <v>111</v>
      </c>
      <c r="E274" s="201">
        <v>95</v>
      </c>
      <c r="F274" s="202">
        <v>617</v>
      </c>
      <c r="G274" s="203">
        <v>111</v>
      </c>
      <c r="H274" s="204">
        <v>95</v>
      </c>
      <c r="I274" s="205">
        <v>617</v>
      </c>
      <c r="J274" s="203">
        <v>111</v>
      </c>
      <c r="K274" s="204">
        <v>95</v>
      </c>
    </row>
    <row r="275" spans="2:11" x14ac:dyDescent="0.25">
      <c r="B275" s="495" t="s">
        <v>388</v>
      </c>
      <c r="C275" s="192">
        <v>375</v>
      </c>
      <c r="D275" s="192">
        <v>78</v>
      </c>
      <c r="E275" s="193">
        <v>102</v>
      </c>
      <c r="F275" s="453">
        <f>+SUM(C275:C276)</f>
        <v>563</v>
      </c>
      <c r="G275" s="460">
        <f>+SUM(D275:D276)</f>
        <v>97</v>
      </c>
      <c r="H275" s="461">
        <f>+SUM(E275:E276)</f>
        <v>122</v>
      </c>
      <c r="I275" s="462">
        <f>+AVERAGE(C275:C276)</f>
        <v>281.5</v>
      </c>
      <c r="J275" s="460">
        <f>+AVERAGE(D275:D276)</f>
        <v>48.5</v>
      </c>
      <c r="K275" s="461">
        <f>+AVERAGE(E275:E276)</f>
        <v>61</v>
      </c>
    </row>
    <row r="276" spans="2:11" x14ac:dyDescent="0.25">
      <c r="B276" s="497"/>
      <c r="C276" s="192">
        <v>188</v>
      </c>
      <c r="D276" s="192">
        <v>19</v>
      </c>
      <c r="E276" s="193">
        <v>20</v>
      </c>
      <c r="F276" s="453"/>
      <c r="G276" s="460"/>
      <c r="H276" s="461"/>
      <c r="I276" s="462"/>
      <c r="J276" s="460"/>
      <c r="K276" s="461"/>
    </row>
    <row r="277" spans="2:11" x14ac:dyDescent="0.25">
      <c r="B277" s="492" t="s">
        <v>344</v>
      </c>
      <c r="C277" s="200">
        <v>521</v>
      </c>
      <c r="D277" s="200">
        <v>53</v>
      </c>
      <c r="E277" s="201">
        <v>211</v>
      </c>
      <c r="F277" s="451">
        <f>+SUM(C277:C279)</f>
        <v>745</v>
      </c>
      <c r="G277" s="457">
        <f>+SUM(D277:D279)</f>
        <v>102</v>
      </c>
      <c r="H277" s="459">
        <f>+SUM(E277:E279)</f>
        <v>265</v>
      </c>
      <c r="I277" s="455">
        <f>+AVERAGE(C277:C279)</f>
        <v>248.33333333333334</v>
      </c>
      <c r="J277" s="457">
        <f>+AVERAGE(D277:D279)</f>
        <v>34</v>
      </c>
      <c r="K277" s="459">
        <f>+AVERAGE(E277:E279)</f>
        <v>88.333333333333329</v>
      </c>
    </row>
    <row r="278" spans="2:11" x14ac:dyDescent="0.25">
      <c r="B278" s="493"/>
      <c r="C278" s="200">
        <v>101</v>
      </c>
      <c r="D278" s="200">
        <v>27</v>
      </c>
      <c r="E278" s="201">
        <v>37</v>
      </c>
      <c r="F278" s="451"/>
      <c r="G278" s="457"/>
      <c r="H278" s="459"/>
      <c r="I278" s="455"/>
      <c r="J278" s="457"/>
      <c r="K278" s="459"/>
    </row>
    <row r="279" spans="2:11" x14ac:dyDescent="0.25">
      <c r="B279" s="498"/>
      <c r="C279" s="200">
        <v>123</v>
      </c>
      <c r="D279" s="200">
        <v>22</v>
      </c>
      <c r="E279" s="201">
        <v>17</v>
      </c>
      <c r="F279" s="451"/>
      <c r="G279" s="457"/>
      <c r="H279" s="459"/>
      <c r="I279" s="455"/>
      <c r="J279" s="457"/>
      <c r="K279" s="459"/>
    </row>
    <row r="280" spans="2:11" x14ac:dyDescent="0.25">
      <c r="B280" s="495" t="s">
        <v>312</v>
      </c>
      <c r="C280" s="192">
        <v>1400</v>
      </c>
      <c r="D280" s="192">
        <v>83</v>
      </c>
      <c r="E280" s="193">
        <v>242</v>
      </c>
      <c r="F280" s="453">
        <f>+SUM(C280:C282)</f>
        <v>26071</v>
      </c>
      <c r="G280" s="460">
        <f>+SUM(D280:D282)</f>
        <v>1012</v>
      </c>
      <c r="H280" s="461">
        <f>+SUM(E280:E282)</f>
        <v>8912</v>
      </c>
      <c r="I280" s="462">
        <f>+AVERAGE(C280:C282)</f>
        <v>8690.3333333333339</v>
      </c>
      <c r="J280" s="460">
        <f>+AVERAGE(D280:D282)</f>
        <v>337.33333333333331</v>
      </c>
      <c r="K280" s="461">
        <f>+AVERAGE(E280:E282)</f>
        <v>2970.6666666666665</v>
      </c>
    </row>
    <row r="281" spans="2:11" x14ac:dyDescent="0.25">
      <c r="B281" s="496"/>
      <c r="C281" s="192">
        <v>24488</v>
      </c>
      <c r="D281" s="192">
        <v>886</v>
      </c>
      <c r="E281" s="193">
        <v>8634</v>
      </c>
      <c r="F281" s="453"/>
      <c r="G281" s="460"/>
      <c r="H281" s="461"/>
      <c r="I281" s="462"/>
      <c r="J281" s="460"/>
      <c r="K281" s="461"/>
    </row>
    <row r="282" spans="2:11" x14ac:dyDescent="0.25">
      <c r="B282" s="497"/>
      <c r="C282" s="192">
        <v>183</v>
      </c>
      <c r="D282" s="192">
        <v>43</v>
      </c>
      <c r="E282" s="193">
        <v>36</v>
      </c>
      <c r="F282" s="453"/>
      <c r="G282" s="460"/>
      <c r="H282" s="461"/>
      <c r="I282" s="462"/>
      <c r="J282" s="460"/>
      <c r="K282" s="461"/>
    </row>
    <row r="283" spans="2:11" x14ac:dyDescent="0.25">
      <c r="B283" s="199" t="s">
        <v>321</v>
      </c>
      <c r="C283" s="200">
        <v>321</v>
      </c>
      <c r="D283" s="200">
        <v>26</v>
      </c>
      <c r="E283" s="201">
        <v>51</v>
      </c>
      <c r="F283" s="202">
        <v>321</v>
      </c>
      <c r="G283" s="203">
        <v>26</v>
      </c>
      <c r="H283" s="204">
        <v>51</v>
      </c>
      <c r="I283" s="205">
        <v>321</v>
      </c>
      <c r="J283" s="203">
        <v>26</v>
      </c>
      <c r="K283" s="204">
        <v>51</v>
      </c>
    </row>
    <row r="284" spans="2:11" x14ac:dyDescent="0.25">
      <c r="B284" s="194" t="s">
        <v>340</v>
      </c>
      <c r="C284" s="192">
        <v>91</v>
      </c>
      <c r="D284" s="192">
        <v>20</v>
      </c>
      <c r="E284" s="193">
        <v>14</v>
      </c>
      <c r="F284" s="195">
        <v>91</v>
      </c>
      <c r="G284" s="196">
        <v>20</v>
      </c>
      <c r="H284" s="197">
        <v>14</v>
      </c>
      <c r="I284" s="198">
        <v>91</v>
      </c>
      <c r="J284" s="196">
        <v>20</v>
      </c>
      <c r="K284" s="197">
        <v>14</v>
      </c>
    </row>
    <row r="285" spans="2:11" x14ac:dyDescent="0.25">
      <c r="B285" s="492" t="s">
        <v>314</v>
      </c>
      <c r="C285" s="200">
        <v>294</v>
      </c>
      <c r="D285" s="200">
        <v>36</v>
      </c>
      <c r="E285" s="201">
        <v>85</v>
      </c>
      <c r="F285" s="451">
        <f>+SUM(C285:C287)</f>
        <v>534</v>
      </c>
      <c r="G285" s="457">
        <f>+SUM(D285:D287)</f>
        <v>107</v>
      </c>
      <c r="H285" s="459">
        <f>+SUM(E285:E287)</f>
        <v>134</v>
      </c>
      <c r="I285" s="455">
        <f>+AVERAGE(C285:C287)</f>
        <v>178</v>
      </c>
      <c r="J285" s="457">
        <f>+AVERAGE(D285:D287)</f>
        <v>35.666666666666664</v>
      </c>
      <c r="K285" s="459">
        <f>+AVERAGE(E285:E287)</f>
        <v>44.666666666666664</v>
      </c>
    </row>
    <row r="286" spans="2:11" x14ac:dyDescent="0.25">
      <c r="B286" s="493"/>
      <c r="C286" s="200">
        <v>52</v>
      </c>
      <c r="D286" s="200">
        <v>22</v>
      </c>
      <c r="E286" s="201">
        <v>4</v>
      </c>
      <c r="F286" s="451"/>
      <c r="G286" s="457"/>
      <c r="H286" s="459"/>
      <c r="I286" s="455"/>
      <c r="J286" s="457"/>
      <c r="K286" s="459"/>
    </row>
    <row r="287" spans="2:11" ht="15.75" thickBot="1" x14ac:dyDescent="0.3">
      <c r="B287" s="494"/>
      <c r="C287" s="206">
        <v>188</v>
      </c>
      <c r="D287" s="206">
        <v>49</v>
      </c>
      <c r="E287" s="207">
        <v>45</v>
      </c>
      <c r="F287" s="452"/>
      <c r="G287" s="464"/>
      <c r="H287" s="465"/>
      <c r="I287" s="466"/>
      <c r="J287" s="464"/>
      <c r="K287" s="465"/>
    </row>
    <row r="289" spans="2:12" x14ac:dyDescent="0.25">
      <c r="B289"/>
      <c r="E289" s="10"/>
      <c r="H289"/>
      <c r="I289"/>
      <c r="J289"/>
    </row>
    <row r="290" spans="2:12" x14ac:dyDescent="0.25">
      <c r="B290"/>
      <c r="E290" s="10"/>
      <c r="H290"/>
      <c r="I290"/>
      <c r="J290"/>
    </row>
    <row r="291" spans="2:12" s="15" customFormat="1" x14ac:dyDescent="0.25">
      <c r="B291" s="16"/>
      <c r="F291" s="16"/>
      <c r="G291" s="16"/>
      <c r="H291" s="16"/>
      <c r="I291" s="16"/>
      <c r="J291" s="16"/>
      <c r="K291" s="16"/>
    </row>
    <row r="292" spans="2:12" x14ac:dyDescent="0.25">
      <c r="B292"/>
      <c r="E292" s="10"/>
      <c r="H292"/>
      <c r="I292"/>
      <c r="J292"/>
    </row>
    <row r="293" spans="2:12" ht="15.75" thickBot="1" x14ac:dyDescent="0.3">
      <c r="B293"/>
      <c r="E293" s="10"/>
      <c r="H293"/>
      <c r="I293"/>
      <c r="J293"/>
    </row>
    <row r="294" spans="2:12" ht="27" thickBot="1" x14ac:dyDescent="0.45">
      <c r="B294" s="394" t="s">
        <v>397</v>
      </c>
      <c r="C294" s="395"/>
      <c r="D294" s="395"/>
      <c r="E294" s="395"/>
      <c r="F294" s="395"/>
      <c r="G294" s="395"/>
      <c r="H294" s="395"/>
      <c r="I294" s="396"/>
      <c r="J294"/>
      <c r="K294"/>
    </row>
    <row r="295" spans="2:12" ht="21.75" thickBot="1" x14ac:dyDescent="0.4">
      <c r="B295" s="397" t="s">
        <v>434</v>
      </c>
      <c r="C295" s="398"/>
      <c r="D295" s="398"/>
      <c r="E295" s="398"/>
      <c r="F295" s="398"/>
      <c r="G295" s="398"/>
      <c r="H295" s="398"/>
      <c r="I295" s="399"/>
      <c r="J295"/>
      <c r="K295"/>
    </row>
    <row r="296" spans="2:12" ht="12.75" customHeight="1" thickBot="1" x14ac:dyDescent="0.3"/>
    <row r="297" spans="2:12" ht="23.25" customHeight="1" x14ac:dyDescent="0.25">
      <c r="B297" s="104"/>
      <c r="C297" s="105"/>
      <c r="D297" s="418" t="s">
        <v>436</v>
      </c>
      <c r="E297" s="418"/>
      <c r="F297" s="418"/>
      <c r="G297" s="419" t="s">
        <v>390</v>
      </c>
      <c r="H297" s="419"/>
      <c r="I297" s="420"/>
      <c r="J297"/>
      <c r="K297"/>
    </row>
    <row r="298" spans="2:12" ht="18.75" x14ac:dyDescent="0.25">
      <c r="B298" s="70" t="s">
        <v>253</v>
      </c>
      <c r="C298" s="71" t="s">
        <v>435</v>
      </c>
      <c r="D298" s="96" t="s">
        <v>473</v>
      </c>
      <c r="E298" s="96" t="s">
        <v>267</v>
      </c>
      <c r="F298" s="96" t="s">
        <v>268</v>
      </c>
      <c r="G298" s="71" t="s">
        <v>473</v>
      </c>
      <c r="H298" s="71" t="s">
        <v>267</v>
      </c>
      <c r="I298" s="72" t="s">
        <v>268</v>
      </c>
      <c r="J298"/>
      <c r="K298"/>
    </row>
    <row r="299" spans="2:12" x14ac:dyDescent="0.25">
      <c r="B299" s="78" t="s">
        <v>284</v>
      </c>
      <c r="C299" s="79">
        <v>1</v>
      </c>
      <c r="D299" s="83">
        <f>+F12</f>
        <v>360</v>
      </c>
      <c r="E299" s="79">
        <f>+G12</f>
        <v>101</v>
      </c>
      <c r="F299" s="79">
        <f>+H12</f>
        <v>61</v>
      </c>
      <c r="G299" s="98">
        <f>+D299/$C$299</f>
        <v>360</v>
      </c>
      <c r="H299" s="98">
        <f>+E299/$C$299</f>
        <v>101</v>
      </c>
      <c r="I299" s="99">
        <f>+F299/$C$299</f>
        <v>61</v>
      </c>
      <c r="L299" s="10"/>
    </row>
    <row r="300" spans="2:12" x14ac:dyDescent="0.25">
      <c r="B300" s="26" t="s">
        <v>257</v>
      </c>
      <c r="C300" s="32">
        <v>19</v>
      </c>
      <c r="D300" s="32">
        <f>+F13+F81+F161+F228</f>
        <v>11128</v>
      </c>
      <c r="E300" s="32">
        <f>+G13+G81+G161+G228</f>
        <v>1091</v>
      </c>
      <c r="F300" s="32">
        <f>+H13+H81+H161+H228</f>
        <v>2472</v>
      </c>
      <c r="G300" s="100">
        <f t="shared" ref="G300:I301" si="21">+D300/$C300</f>
        <v>585.68421052631584</v>
      </c>
      <c r="H300" s="100">
        <f t="shared" si="21"/>
        <v>57.421052631578945</v>
      </c>
      <c r="I300" s="101">
        <f t="shared" si="21"/>
        <v>130.10526315789474</v>
      </c>
      <c r="L300" s="10"/>
    </row>
    <row r="301" spans="2:12" x14ac:dyDescent="0.25">
      <c r="B301" s="78" t="s">
        <v>256</v>
      </c>
      <c r="C301" s="79">
        <v>37</v>
      </c>
      <c r="D301" s="79">
        <f>+F16+F92+F164+F230</f>
        <v>15868</v>
      </c>
      <c r="E301" s="79">
        <f>+G16+G92+G164+G230</f>
        <v>1947</v>
      </c>
      <c r="F301" s="79">
        <f>+H16+H92+H164+H230</f>
        <v>2477</v>
      </c>
      <c r="G301" s="98">
        <f t="shared" si="21"/>
        <v>428.86486486486484</v>
      </c>
      <c r="H301" s="98">
        <f t="shared" si="21"/>
        <v>52.621621621621621</v>
      </c>
      <c r="I301" s="99">
        <f t="shared" si="21"/>
        <v>66.945945945945951</v>
      </c>
      <c r="L301" s="10"/>
    </row>
    <row r="302" spans="2:12" x14ac:dyDescent="0.25">
      <c r="B302" s="26" t="s">
        <v>294</v>
      </c>
      <c r="C302" s="32">
        <v>3</v>
      </c>
      <c r="D302" s="32">
        <f>+F25+0+0+F240</f>
        <v>1219</v>
      </c>
      <c r="E302" s="32">
        <f>+G25+0+0+G240</f>
        <v>331</v>
      </c>
      <c r="F302" s="32">
        <f>+H25+0+0+H240</f>
        <v>255</v>
      </c>
      <c r="G302" s="100">
        <f t="shared" ref="G302:G330" si="22">+D302/$C302</f>
        <v>406.33333333333331</v>
      </c>
      <c r="H302" s="100">
        <f t="shared" ref="H302:H330" si="23">+E302/$C302</f>
        <v>110.33333333333333</v>
      </c>
      <c r="I302" s="101">
        <f t="shared" ref="I302:I330" si="24">+F302/$C302</f>
        <v>85</v>
      </c>
      <c r="L302" s="10"/>
    </row>
    <row r="303" spans="2:12" x14ac:dyDescent="0.25">
      <c r="B303" s="78" t="s">
        <v>349</v>
      </c>
      <c r="C303" s="97">
        <v>1</v>
      </c>
      <c r="D303" s="79">
        <f>0+0+0+F242</f>
        <v>708</v>
      </c>
      <c r="E303" s="79">
        <f>0+0+0+G242</f>
        <v>32</v>
      </c>
      <c r="F303" s="79">
        <f>0+0+0+H242</f>
        <v>83</v>
      </c>
      <c r="G303" s="98">
        <f t="shared" si="22"/>
        <v>708</v>
      </c>
      <c r="H303" s="98">
        <f t="shared" si="23"/>
        <v>32</v>
      </c>
      <c r="I303" s="99">
        <f t="shared" si="24"/>
        <v>83</v>
      </c>
      <c r="L303" s="10"/>
    </row>
    <row r="304" spans="2:12" x14ac:dyDescent="0.25">
      <c r="B304" s="26" t="s">
        <v>334</v>
      </c>
      <c r="C304" s="32">
        <v>5</v>
      </c>
      <c r="D304" s="32">
        <f>+F26+0+F177+F243</f>
        <v>1205</v>
      </c>
      <c r="E304" s="32">
        <f>+G26+0+G177+G243</f>
        <v>137</v>
      </c>
      <c r="F304" s="32">
        <f>+H26+0+H177+H243</f>
        <v>251</v>
      </c>
      <c r="G304" s="100">
        <f t="shared" si="22"/>
        <v>241</v>
      </c>
      <c r="H304" s="100">
        <f t="shared" si="23"/>
        <v>27.4</v>
      </c>
      <c r="I304" s="101">
        <f t="shared" si="24"/>
        <v>50.2</v>
      </c>
      <c r="L304" s="10"/>
    </row>
    <row r="305" spans="2:12" x14ac:dyDescent="0.25">
      <c r="B305" s="78" t="s">
        <v>365</v>
      </c>
      <c r="C305" s="79">
        <v>3</v>
      </c>
      <c r="D305" s="79">
        <f>0+F97+0+F246</f>
        <v>1469</v>
      </c>
      <c r="E305" s="79">
        <f>0+G97+0+G246</f>
        <v>148</v>
      </c>
      <c r="F305" s="79">
        <f>0+H97+0+H246</f>
        <v>393</v>
      </c>
      <c r="G305" s="98">
        <f t="shared" si="22"/>
        <v>489.66666666666669</v>
      </c>
      <c r="H305" s="98">
        <f t="shared" si="23"/>
        <v>49.333333333333336</v>
      </c>
      <c r="I305" s="99">
        <f t="shared" si="24"/>
        <v>131</v>
      </c>
      <c r="L305" s="10"/>
    </row>
    <row r="306" spans="2:12" x14ac:dyDescent="0.25">
      <c r="B306" s="26" t="s">
        <v>328</v>
      </c>
      <c r="C306" s="32">
        <v>9</v>
      </c>
      <c r="D306" s="32">
        <f>+F27+F99+F178+F247</f>
        <v>15696</v>
      </c>
      <c r="E306" s="32">
        <f>+G27+G99+G178+G247</f>
        <v>686</v>
      </c>
      <c r="F306" s="32">
        <f>+H27+H99+H178+H247</f>
        <v>10479</v>
      </c>
      <c r="G306" s="100">
        <f t="shared" si="22"/>
        <v>1744</v>
      </c>
      <c r="H306" s="100">
        <f t="shared" si="23"/>
        <v>76.222222222222229</v>
      </c>
      <c r="I306" s="101">
        <f t="shared" si="24"/>
        <v>1164.3333333333333</v>
      </c>
      <c r="L306" s="10"/>
    </row>
    <row r="307" spans="2:12" x14ac:dyDescent="0.25">
      <c r="B307" s="78" t="s">
        <v>295</v>
      </c>
      <c r="C307" s="79">
        <v>7</v>
      </c>
      <c r="D307" s="79">
        <f>+F30+F102+F179+F249</f>
        <v>4586</v>
      </c>
      <c r="E307" s="79">
        <f>+G30+G102+G179+G249</f>
        <v>391</v>
      </c>
      <c r="F307" s="79">
        <f>+H30+H102+H179+H249</f>
        <v>880</v>
      </c>
      <c r="G307" s="98">
        <f t="shared" si="22"/>
        <v>655.14285714285711</v>
      </c>
      <c r="H307" s="98">
        <f t="shared" si="23"/>
        <v>55.857142857142854</v>
      </c>
      <c r="I307" s="99">
        <f t="shared" si="24"/>
        <v>125.71428571428571</v>
      </c>
      <c r="L307" s="10"/>
    </row>
    <row r="308" spans="2:12" x14ac:dyDescent="0.25">
      <c r="B308" s="26" t="s">
        <v>382</v>
      </c>
      <c r="C308" s="32">
        <v>14</v>
      </c>
      <c r="D308" s="32">
        <f>+F33+F103+F181+F250</f>
        <v>24976</v>
      </c>
      <c r="E308" s="32">
        <f>+G33+G103+G181+G250</f>
        <v>1214</v>
      </c>
      <c r="F308" s="32">
        <f>+H33+H103+H181+H250</f>
        <v>2500</v>
      </c>
      <c r="G308" s="100">
        <f t="shared" si="22"/>
        <v>1784</v>
      </c>
      <c r="H308" s="100">
        <f t="shared" si="23"/>
        <v>86.714285714285708</v>
      </c>
      <c r="I308" s="101">
        <f t="shared" si="24"/>
        <v>178.57142857142858</v>
      </c>
      <c r="L308" s="10"/>
    </row>
    <row r="309" spans="2:12" x14ac:dyDescent="0.25">
      <c r="B309" s="78" t="s">
        <v>298</v>
      </c>
      <c r="C309" s="79">
        <v>2</v>
      </c>
      <c r="D309" s="79">
        <f>+F34+0+F184+0</f>
        <v>2320</v>
      </c>
      <c r="E309" s="79">
        <f>+G34+0+G184+0</f>
        <v>213</v>
      </c>
      <c r="F309" s="79">
        <f>+H34+0+H184+0</f>
        <v>926</v>
      </c>
      <c r="G309" s="98">
        <f t="shared" si="22"/>
        <v>1160</v>
      </c>
      <c r="H309" s="98">
        <f t="shared" si="23"/>
        <v>106.5</v>
      </c>
      <c r="I309" s="99">
        <f t="shared" si="24"/>
        <v>463</v>
      </c>
      <c r="L309" s="10"/>
    </row>
    <row r="310" spans="2:12" x14ac:dyDescent="0.25">
      <c r="B310" s="26" t="s">
        <v>282</v>
      </c>
      <c r="C310" s="32">
        <v>2</v>
      </c>
      <c r="D310" s="32">
        <f>+F35+0+0+0</f>
        <v>511</v>
      </c>
      <c r="E310" s="32">
        <f>+G35+0+0+0</f>
        <v>78</v>
      </c>
      <c r="F310" s="32">
        <f>+H35+0+0+0</f>
        <v>219</v>
      </c>
      <c r="G310" s="100">
        <f t="shared" si="22"/>
        <v>255.5</v>
      </c>
      <c r="H310" s="100">
        <f t="shared" si="23"/>
        <v>39</v>
      </c>
      <c r="I310" s="101">
        <f t="shared" si="24"/>
        <v>109.5</v>
      </c>
      <c r="L310" s="10"/>
    </row>
    <row r="311" spans="2:12" ht="14.25" customHeight="1" x14ac:dyDescent="0.25">
      <c r="B311" s="121" t="s">
        <v>478</v>
      </c>
      <c r="C311" s="79">
        <v>13</v>
      </c>
      <c r="D311" s="79">
        <f>+F37+F111+F185+F252</f>
        <v>31291</v>
      </c>
      <c r="E311" s="79">
        <f>+G37+G111+G185+G252</f>
        <v>1060</v>
      </c>
      <c r="F311" s="79">
        <f>+H37+H111+H185+H252</f>
        <v>1942</v>
      </c>
      <c r="G311" s="98">
        <f t="shared" si="22"/>
        <v>2407</v>
      </c>
      <c r="H311" s="98">
        <f t="shared" si="23"/>
        <v>81.538461538461533</v>
      </c>
      <c r="I311" s="99">
        <f t="shared" si="24"/>
        <v>149.38461538461539</v>
      </c>
      <c r="L311" s="10"/>
    </row>
    <row r="312" spans="2:12" x14ac:dyDescent="0.25">
      <c r="B312" s="26" t="s">
        <v>285</v>
      </c>
      <c r="C312" s="32">
        <v>19</v>
      </c>
      <c r="D312" s="32">
        <f>+F40+F114+F189+F255</f>
        <v>7856</v>
      </c>
      <c r="E312" s="32">
        <f>+G40+G114+G189+G255</f>
        <v>922</v>
      </c>
      <c r="F312" s="32">
        <f>+H40+H114+H189+H255</f>
        <v>1287</v>
      </c>
      <c r="G312" s="100">
        <f t="shared" si="22"/>
        <v>413.4736842105263</v>
      </c>
      <c r="H312" s="100">
        <f t="shared" si="23"/>
        <v>48.526315789473685</v>
      </c>
      <c r="I312" s="101">
        <f t="shared" si="24"/>
        <v>67.736842105263165</v>
      </c>
      <c r="L312" s="10"/>
    </row>
    <row r="313" spans="2:12" x14ac:dyDescent="0.25">
      <c r="B313" s="78" t="s">
        <v>337</v>
      </c>
      <c r="C313" s="79">
        <v>6</v>
      </c>
      <c r="D313" s="79">
        <f>0+F120+F191+F260</f>
        <v>1036</v>
      </c>
      <c r="E313" s="79">
        <f>0+G120+G191+G260</f>
        <v>148</v>
      </c>
      <c r="F313" s="79">
        <f>0+H120+H191+H260</f>
        <v>267</v>
      </c>
      <c r="G313" s="98">
        <f t="shared" si="22"/>
        <v>172.66666666666666</v>
      </c>
      <c r="H313" s="98">
        <f t="shared" si="23"/>
        <v>24.666666666666668</v>
      </c>
      <c r="I313" s="99">
        <f t="shared" si="24"/>
        <v>44.5</v>
      </c>
      <c r="L313" s="10"/>
    </row>
    <row r="314" spans="2:12" x14ac:dyDescent="0.25">
      <c r="B314" s="26" t="s">
        <v>364</v>
      </c>
      <c r="C314" s="32">
        <v>3</v>
      </c>
      <c r="D314" s="32">
        <f>0+F122+F194+0</f>
        <v>1237</v>
      </c>
      <c r="E314" s="32">
        <f>0+G122+G194+0</f>
        <v>186</v>
      </c>
      <c r="F314" s="32">
        <f>0+H122+H194+0</f>
        <v>356</v>
      </c>
      <c r="G314" s="100">
        <f t="shared" si="22"/>
        <v>412.33333333333331</v>
      </c>
      <c r="H314" s="100">
        <f t="shared" si="23"/>
        <v>62</v>
      </c>
      <c r="I314" s="101">
        <f t="shared" si="24"/>
        <v>118.66666666666667</v>
      </c>
      <c r="L314" s="10"/>
    </row>
    <row r="315" spans="2:12" x14ac:dyDescent="0.25">
      <c r="B315" s="78" t="s">
        <v>309</v>
      </c>
      <c r="C315" s="79">
        <v>10</v>
      </c>
      <c r="D315" s="79">
        <f>+F46+F122+F195+F261</f>
        <v>7678</v>
      </c>
      <c r="E315" s="79">
        <f>+G46+G122+G195+G261</f>
        <v>700</v>
      </c>
      <c r="F315" s="79">
        <f>+H46+H122+H195+H261</f>
        <v>1740</v>
      </c>
      <c r="G315" s="98">
        <f t="shared" si="22"/>
        <v>767.8</v>
      </c>
      <c r="H315" s="98">
        <f t="shared" si="23"/>
        <v>70</v>
      </c>
      <c r="I315" s="99">
        <f t="shared" si="24"/>
        <v>174</v>
      </c>
      <c r="L315" s="10"/>
    </row>
    <row r="316" spans="2:12" x14ac:dyDescent="0.25">
      <c r="B316" s="26" t="s">
        <v>391</v>
      </c>
      <c r="C316" s="32">
        <v>3</v>
      </c>
      <c r="D316" s="32">
        <f>+F48+0+0+F264</f>
        <v>765</v>
      </c>
      <c r="E316" s="32">
        <f>+G48+0+0+G264</f>
        <v>192</v>
      </c>
      <c r="F316" s="32">
        <f>+H48+0+0+H264</f>
        <v>198</v>
      </c>
      <c r="G316" s="100">
        <f t="shared" si="22"/>
        <v>255</v>
      </c>
      <c r="H316" s="100">
        <f t="shared" si="23"/>
        <v>64</v>
      </c>
      <c r="I316" s="101">
        <f t="shared" si="24"/>
        <v>66</v>
      </c>
      <c r="L316" s="10"/>
    </row>
    <row r="317" spans="2:12" x14ac:dyDescent="0.25">
      <c r="B317" s="78" t="s">
        <v>258</v>
      </c>
      <c r="C317" s="79">
        <v>8</v>
      </c>
      <c r="D317" s="79">
        <f>+F49+F127+0+0</f>
        <v>13633</v>
      </c>
      <c r="E317" s="79">
        <f>+G49+G127+0+0</f>
        <v>705</v>
      </c>
      <c r="F317" s="79">
        <f>+H49+H127+0+0</f>
        <v>608</v>
      </c>
      <c r="G317" s="98">
        <f t="shared" si="22"/>
        <v>1704.125</v>
      </c>
      <c r="H317" s="98">
        <f t="shared" si="23"/>
        <v>88.125</v>
      </c>
      <c r="I317" s="99">
        <f t="shared" si="24"/>
        <v>76</v>
      </c>
      <c r="L317" s="10"/>
    </row>
    <row r="318" spans="2:12" x14ac:dyDescent="0.25">
      <c r="B318" s="26" t="s">
        <v>318</v>
      </c>
      <c r="C318" s="32">
        <v>4</v>
      </c>
      <c r="D318" s="32">
        <f>0+F130+F197+0</f>
        <v>3056</v>
      </c>
      <c r="E318" s="32">
        <f>0+G130+G197+0</f>
        <v>568</v>
      </c>
      <c r="F318" s="32">
        <f>0+H130+H197+0</f>
        <v>473</v>
      </c>
      <c r="G318" s="100">
        <f t="shared" si="22"/>
        <v>764</v>
      </c>
      <c r="H318" s="100">
        <f t="shared" si="23"/>
        <v>142</v>
      </c>
      <c r="I318" s="101">
        <f t="shared" si="24"/>
        <v>118.25</v>
      </c>
      <c r="L318" s="10"/>
    </row>
    <row r="319" spans="2:12" x14ac:dyDescent="0.25">
      <c r="B319" s="78" t="s">
        <v>331</v>
      </c>
      <c r="C319" s="79">
        <v>2</v>
      </c>
      <c r="D319" s="79">
        <f>0+F131+0+0</f>
        <v>638</v>
      </c>
      <c r="E319" s="79">
        <f>0+G131+0+0</f>
        <v>113</v>
      </c>
      <c r="F319" s="79">
        <f>0+H131+0+0</f>
        <v>63</v>
      </c>
      <c r="G319" s="98">
        <f t="shared" si="22"/>
        <v>319</v>
      </c>
      <c r="H319" s="98">
        <f t="shared" si="23"/>
        <v>56.5</v>
      </c>
      <c r="I319" s="99">
        <f t="shared" si="24"/>
        <v>31.5</v>
      </c>
      <c r="L319" s="10"/>
    </row>
    <row r="320" spans="2:12" x14ac:dyDescent="0.25">
      <c r="B320" s="26" t="s">
        <v>359</v>
      </c>
      <c r="C320" s="32">
        <v>4</v>
      </c>
      <c r="D320" s="32">
        <f>0+F133+0+0</f>
        <v>5096</v>
      </c>
      <c r="E320" s="32">
        <f>0+G133+0+0</f>
        <v>186</v>
      </c>
      <c r="F320" s="32">
        <f>0+H133+0+0</f>
        <v>2055</v>
      </c>
      <c r="G320" s="100">
        <f t="shared" si="22"/>
        <v>1274</v>
      </c>
      <c r="H320" s="100">
        <f t="shared" si="23"/>
        <v>46.5</v>
      </c>
      <c r="I320" s="101">
        <f t="shared" si="24"/>
        <v>513.75</v>
      </c>
      <c r="L320" s="10"/>
    </row>
    <row r="321" spans="2:12" x14ac:dyDescent="0.25">
      <c r="B321" s="78" t="s">
        <v>259</v>
      </c>
      <c r="C321" s="79">
        <v>7</v>
      </c>
      <c r="D321" s="79">
        <f>+F54+F137+F200+0</f>
        <v>15351</v>
      </c>
      <c r="E321" s="79">
        <f>+G54+G137+G200+0</f>
        <v>695</v>
      </c>
      <c r="F321" s="79">
        <f>+H54+H137+H200+0</f>
        <v>665</v>
      </c>
      <c r="G321" s="98">
        <f t="shared" si="22"/>
        <v>2193</v>
      </c>
      <c r="H321" s="98">
        <f t="shared" si="23"/>
        <v>99.285714285714292</v>
      </c>
      <c r="I321" s="99">
        <f t="shared" si="24"/>
        <v>95</v>
      </c>
      <c r="L321" s="10"/>
    </row>
    <row r="322" spans="2:12" x14ac:dyDescent="0.25">
      <c r="B322" s="26" t="s">
        <v>254</v>
      </c>
      <c r="C322" s="32">
        <v>17</v>
      </c>
      <c r="D322" s="32">
        <f>+F56+F141+F201+F266</f>
        <v>20232</v>
      </c>
      <c r="E322" s="32">
        <f>+G56+G141+G201+G266</f>
        <v>2734</v>
      </c>
      <c r="F322" s="32">
        <f>+H56+H141+H201+H266</f>
        <v>7498</v>
      </c>
      <c r="G322" s="100">
        <f t="shared" si="22"/>
        <v>1190.1176470588234</v>
      </c>
      <c r="H322" s="100">
        <f t="shared" si="23"/>
        <v>160.8235294117647</v>
      </c>
      <c r="I322" s="101">
        <f t="shared" si="24"/>
        <v>441.05882352941177</v>
      </c>
      <c r="L322" s="10"/>
    </row>
    <row r="323" spans="2:12" x14ac:dyDescent="0.25">
      <c r="B323" s="78" t="s">
        <v>384</v>
      </c>
      <c r="C323" s="79">
        <v>4</v>
      </c>
      <c r="D323" s="79">
        <f>0+0+F203+F274</f>
        <v>1180</v>
      </c>
      <c r="E323" s="79">
        <f>0+0+G203+G274</f>
        <v>282</v>
      </c>
      <c r="F323" s="79">
        <f>0+0+H203+H274</f>
        <v>281</v>
      </c>
      <c r="G323" s="98">
        <f t="shared" si="22"/>
        <v>295</v>
      </c>
      <c r="H323" s="98">
        <f t="shared" si="23"/>
        <v>70.5</v>
      </c>
      <c r="I323" s="99">
        <f t="shared" si="24"/>
        <v>70.25</v>
      </c>
      <c r="L323" s="10"/>
    </row>
    <row r="324" spans="2:12" x14ac:dyDescent="0.25">
      <c r="B324" s="26" t="s">
        <v>388</v>
      </c>
      <c r="C324" s="32">
        <v>3</v>
      </c>
      <c r="D324" s="32">
        <f>0+0+F206+F275</f>
        <v>787</v>
      </c>
      <c r="E324" s="32">
        <f>0+0+G206+G275</f>
        <v>177</v>
      </c>
      <c r="F324" s="32">
        <f>0+0+H206+H275</f>
        <v>154</v>
      </c>
      <c r="G324" s="100">
        <f t="shared" si="22"/>
        <v>262.33333333333331</v>
      </c>
      <c r="H324" s="100">
        <f t="shared" si="23"/>
        <v>59</v>
      </c>
      <c r="I324" s="101">
        <f t="shared" si="24"/>
        <v>51.333333333333336</v>
      </c>
      <c r="L324" s="10"/>
    </row>
    <row r="325" spans="2:12" x14ac:dyDescent="0.25">
      <c r="B325" s="78" t="s">
        <v>344</v>
      </c>
      <c r="C325" s="79">
        <v>6</v>
      </c>
      <c r="D325" s="79">
        <f>0+F143+F207+F277</f>
        <v>3553</v>
      </c>
      <c r="E325" s="79">
        <f>0+G143+G207+G277</f>
        <v>271</v>
      </c>
      <c r="F325" s="79">
        <f>0+H143+H207+H277</f>
        <v>884</v>
      </c>
      <c r="G325" s="98">
        <f t="shared" si="22"/>
        <v>592.16666666666663</v>
      </c>
      <c r="H325" s="98">
        <f t="shared" si="23"/>
        <v>45.166666666666664</v>
      </c>
      <c r="I325" s="99">
        <f t="shared" si="24"/>
        <v>147.33333333333334</v>
      </c>
      <c r="L325" s="10"/>
    </row>
    <row r="326" spans="2:12" x14ac:dyDescent="0.25">
      <c r="B326" s="26" t="s">
        <v>312</v>
      </c>
      <c r="C326" s="32">
        <v>6</v>
      </c>
      <c r="D326" s="32">
        <f>0+F144+F209+F280</f>
        <v>27867</v>
      </c>
      <c r="E326" s="32">
        <f>0+G144+G209+G280</f>
        <v>1188</v>
      </c>
      <c r="F326" s="32">
        <f>0+H144+H209+H280</f>
        <v>9180</v>
      </c>
      <c r="G326" s="100">
        <f t="shared" si="22"/>
        <v>4644.5</v>
      </c>
      <c r="H326" s="100">
        <f t="shared" si="23"/>
        <v>198</v>
      </c>
      <c r="I326" s="101">
        <f t="shared" si="24"/>
        <v>1530</v>
      </c>
      <c r="L326" s="10"/>
    </row>
    <row r="327" spans="2:12" x14ac:dyDescent="0.25">
      <c r="B327" s="78" t="s">
        <v>321</v>
      </c>
      <c r="C327" s="79">
        <v>7</v>
      </c>
      <c r="D327" s="79">
        <f>0+F145+F211+F283</f>
        <v>2336</v>
      </c>
      <c r="E327" s="79">
        <f>0+G145+G211+G283</f>
        <v>267</v>
      </c>
      <c r="F327" s="79">
        <f>0+H145+H211+H283</f>
        <v>544</v>
      </c>
      <c r="G327" s="98">
        <f t="shared" si="22"/>
        <v>333.71428571428572</v>
      </c>
      <c r="H327" s="98">
        <f t="shared" si="23"/>
        <v>38.142857142857146</v>
      </c>
      <c r="I327" s="99">
        <f t="shared" si="24"/>
        <v>77.714285714285708</v>
      </c>
      <c r="L327" s="10"/>
    </row>
    <row r="328" spans="2:12" x14ac:dyDescent="0.25">
      <c r="B328" s="26" t="s">
        <v>287</v>
      </c>
      <c r="C328" s="32">
        <v>17</v>
      </c>
      <c r="D328" s="32">
        <f>+F61+F149+F213+0</f>
        <v>20979</v>
      </c>
      <c r="E328" s="32">
        <f>+G61+G149+G213+0</f>
        <v>1939</v>
      </c>
      <c r="F328" s="32">
        <f>+H61+H149+H213+0</f>
        <v>3473</v>
      </c>
      <c r="G328" s="100">
        <f t="shared" si="22"/>
        <v>1234.0588235294117</v>
      </c>
      <c r="H328" s="100">
        <f t="shared" si="23"/>
        <v>114.05882352941177</v>
      </c>
      <c r="I328" s="101">
        <f t="shared" si="24"/>
        <v>204.29411764705881</v>
      </c>
      <c r="L328" s="10"/>
    </row>
    <row r="329" spans="2:12" x14ac:dyDescent="0.25">
      <c r="B329" s="78" t="s">
        <v>340</v>
      </c>
      <c r="C329" s="97">
        <v>3</v>
      </c>
      <c r="D329" s="79">
        <f>0+0+F215+F284</f>
        <v>522</v>
      </c>
      <c r="E329" s="79">
        <f>0+0+G215+G284</f>
        <v>91</v>
      </c>
      <c r="F329" s="79">
        <f>0+0+H215+H284</f>
        <v>77</v>
      </c>
      <c r="G329" s="98">
        <f t="shared" si="22"/>
        <v>174</v>
      </c>
      <c r="H329" s="98">
        <f t="shared" si="23"/>
        <v>30.333333333333332</v>
      </c>
      <c r="I329" s="99">
        <f t="shared" si="24"/>
        <v>25.666666666666668</v>
      </c>
      <c r="L329" s="10"/>
    </row>
    <row r="330" spans="2:12" ht="15.75" thickBot="1" x14ac:dyDescent="0.3">
      <c r="B330" s="27" t="s">
        <v>314</v>
      </c>
      <c r="C330" s="33">
        <v>7</v>
      </c>
      <c r="D330" s="33">
        <f>0+F152+F217+F285</f>
        <v>1601</v>
      </c>
      <c r="E330" s="33">
        <f>0+G152+G217+G285</f>
        <v>272</v>
      </c>
      <c r="F330" s="33">
        <f>0+H152+H217+H285</f>
        <v>348</v>
      </c>
      <c r="G330" s="102">
        <f t="shared" si="22"/>
        <v>228.71428571428572</v>
      </c>
      <c r="H330" s="102">
        <f t="shared" si="23"/>
        <v>38.857142857142854</v>
      </c>
      <c r="I330" s="103">
        <f t="shared" si="24"/>
        <v>49.714285714285715</v>
      </c>
      <c r="L330" s="10"/>
    </row>
    <row r="331" spans="2:12" x14ac:dyDescent="0.25">
      <c r="B331"/>
    </row>
    <row r="332" spans="2:12" x14ac:dyDescent="0.25">
      <c r="B332"/>
    </row>
    <row r="333" spans="2:12" x14ac:dyDescent="0.25">
      <c r="B333"/>
    </row>
    <row r="334" spans="2:12" x14ac:dyDescent="0.25">
      <c r="B334"/>
    </row>
    <row r="335" spans="2:12" x14ac:dyDescent="0.25">
      <c r="B335"/>
    </row>
    <row r="336" spans="2:1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</sheetData>
  <mergeCells count="448">
    <mergeCell ref="B228:B229"/>
    <mergeCell ref="B164:B176"/>
    <mergeCell ref="B161:B163"/>
    <mergeCell ref="B285:B287"/>
    <mergeCell ref="B280:B282"/>
    <mergeCell ref="B277:B279"/>
    <mergeCell ref="B275:B276"/>
    <mergeCell ref="B266:B273"/>
    <mergeCell ref="B264:B265"/>
    <mergeCell ref="B261:B263"/>
    <mergeCell ref="B255:B259"/>
    <mergeCell ref="B252:B254"/>
    <mergeCell ref="B250:B251"/>
    <mergeCell ref="B247:B248"/>
    <mergeCell ref="B243:B245"/>
    <mergeCell ref="B240:B241"/>
    <mergeCell ref="B230:B239"/>
    <mergeCell ref="B191:B193"/>
    <mergeCell ref="B189:B190"/>
    <mergeCell ref="B185:B188"/>
    <mergeCell ref="B181:B183"/>
    <mergeCell ref="B179:B180"/>
    <mergeCell ref="B207:B208"/>
    <mergeCell ref="B203:B205"/>
    <mergeCell ref="B201:B202"/>
    <mergeCell ref="B197:B199"/>
    <mergeCell ref="B195:B196"/>
    <mergeCell ref="B217:B219"/>
    <mergeCell ref="B215:B216"/>
    <mergeCell ref="B213:B214"/>
    <mergeCell ref="B211:B212"/>
    <mergeCell ref="B209:B210"/>
    <mergeCell ref="B16:B24"/>
    <mergeCell ref="B35:B36"/>
    <mergeCell ref="B30:B32"/>
    <mergeCell ref="B27:B29"/>
    <mergeCell ref="B61:B72"/>
    <mergeCell ref="B56:B60"/>
    <mergeCell ref="B54:B55"/>
    <mergeCell ref="B49:B53"/>
    <mergeCell ref="B46:B47"/>
    <mergeCell ref="B40:B45"/>
    <mergeCell ref="B37:B39"/>
    <mergeCell ref="B131:B132"/>
    <mergeCell ref="B127:B129"/>
    <mergeCell ref="B124:B126"/>
    <mergeCell ref="B122:B123"/>
    <mergeCell ref="B120:B121"/>
    <mergeCell ref="B149:B151"/>
    <mergeCell ref="F56:F60"/>
    <mergeCell ref="B145:B148"/>
    <mergeCell ref="B141:B142"/>
    <mergeCell ref="B137:B140"/>
    <mergeCell ref="B133:B136"/>
    <mergeCell ref="F131:F132"/>
    <mergeCell ref="F127:F129"/>
    <mergeCell ref="F124:F126"/>
    <mergeCell ref="F122:F123"/>
    <mergeCell ref="F120:F121"/>
    <mergeCell ref="F149:F151"/>
    <mergeCell ref="F145:F148"/>
    <mergeCell ref="F141:F142"/>
    <mergeCell ref="F137:F140"/>
    <mergeCell ref="F133:F136"/>
    <mergeCell ref="F61:F72"/>
    <mergeCell ref="B76:K76"/>
    <mergeCell ref="B77:K77"/>
    <mergeCell ref="F79:H79"/>
    <mergeCell ref="I79:K79"/>
    <mergeCell ref="K92:K96"/>
    <mergeCell ref="J92:J96"/>
    <mergeCell ref="I92:I96"/>
    <mergeCell ref="J103:J110"/>
    <mergeCell ref="K103:K110"/>
    <mergeCell ref="I99:I101"/>
    <mergeCell ref="B92:B96"/>
    <mergeCell ref="B81:B91"/>
    <mergeCell ref="J99:J101"/>
    <mergeCell ref="K99:K101"/>
    <mergeCell ref="I97:I98"/>
    <mergeCell ref="J97:J98"/>
    <mergeCell ref="K97:K98"/>
    <mergeCell ref="H92:H96"/>
    <mergeCell ref="G92:G96"/>
    <mergeCell ref="F92:F96"/>
    <mergeCell ref="K81:K91"/>
    <mergeCell ref="J81:J91"/>
    <mergeCell ref="I81:I91"/>
    <mergeCell ref="H81:H91"/>
    <mergeCell ref="G81:G91"/>
    <mergeCell ref="F81:F91"/>
    <mergeCell ref="B114:B119"/>
    <mergeCell ref="B111:B113"/>
    <mergeCell ref="B103:B110"/>
    <mergeCell ref="B99:B101"/>
    <mergeCell ref="B97:B98"/>
    <mergeCell ref="G114:G119"/>
    <mergeCell ref="H114:H119"/>
    <mergeCell ref="G99:G101"/>
    <mergeCell ref="H99:H101"/>
    <mergeCell ref="G97:G98"/>
    <mergeCell ref="H97:H98"/>
    <mergeCell ref="F114:F119"/>
    <mergeCell ref="F111:F113"/>
    <mergeCell ref="F103:F110"/>
    <mergeCell ref="F99:F101"/>
    <mergeCell ref="F97:F98"/>
    <mergeCell ref="K275:K276"/>
    <mergeCell ref="G264:G265"/>
    <mergeCell ref="H264:H265"/>
    <mergeCell ref="I264:I265"/>
    <mergeCell ref="J264:J265"/>
    <mergeCell ref="K264:K265"/>
    <mergeCell ref="G255:G259"/>
    <mergeCell ref="H255:H259"/>
    <mergeCell ref="I255:I259"/>
    <mergeCell ref="J255:J259"/>
    <mergeCell ref="K255:K259"/>
    <mergeCell ref="G266:G273"/>
    <mergeCell ref="H266:H273"/>
    <mergeCell ref="I266:I273"/>
    <mergeCell ref="J266:J273"/>
    <mergeCell ref="K266:K273"/>
    <mergeCell ref="G275:G276"/>
    <mergeCell ref="H275:H276"/>
    <mergeCell ref="I275:I276"/>
    <mergeCell ref="J275:J276"/>
    <mergeCell ref="G252:G254"/>
    <mergeCell ref="H252:H254"/>
    <mergeCell ref="I252:I254"/>
    <mergeCell ref="J252:J254"/>
    <mergeCell ref="K252:K254"/>
    <mergeCell ref="G261:G263"/>
    <mergeCell ref="H261:H263"/>
    <mergeCell ref="I261:I263"/>
    <mergeCell ref="J261:J263"/>
    <mergeCell ref="K261:K263"/>
    <mergeCell ref="G285:G287"/>
    <mergeCell ref="H285:H287"/>
    <mergeCell ref="I285:I287"/>
    <mergeCell ref="J285:J287"/>
    <mergeCell ref="K285:K287"/>
    <mergeCell ref="G277:G279"/>
    <mergeCell ref="H277:H279"/>
    <mergeCell ref="I277:I279"/>
    <mergeCell ref="J277:J279"/>
    <mergeCell ref="K277:K279"/>
    <mergeCell ref="G280:G282"/>
    <mergeCell ref="H280:H282"/>
    <mergeCell ref="I280:I282"/>
    <mergeCell ref="J280:J282"/>
    <mergeCell ref="K280:K282"/>
    <mergeCell ref="I250:I251"/>
    <mergeCell ref="J250:J251"/>
    <mergeCell ref="K250:K251"/>
    <mergeCell ref="I240:I241"/>
    <mergeCell ref="J240:J241"/>
    <mergeCell ref="K240:K241"/>
    <mergeCell ref="G247:G248"/>
    <mergeCell ref="H247:H248"/>
    <mergeCell ref="I247:I248"/>
    <mergeCell ref="J247:J248"/>
    <mergeCell ref="K247:K248"/>
    <mergeCell ref="G243:G245"/>
    <mergeCell ref="H243:H245"/>
    <mergeCell ref="I243:I245"/>
    <mergeCell ref="J243:J245"/>
    <mergeCell ref="K243:K245"/>
    <mergeCell ref="F240:F241"/>
    <mergeCell ref="F230:F239"/>
    <mergeCell ref="F228:F229"/>
    <mergeCell ref="G228:G229"/>
    <mergeCell ref="H228:H229"/>
    <mergeCell ref="G240:G241"/>
    <mergeCell ref="H240:H241"/>
    <mergeCell ref="G250:G251"/>
    <mergeCell ref="H250:H251"/>
    <mergeCell ref="B223:K223"/>
    <mergeCell ref="B224:K224"/>
    <mergeCell ref="F226:H226"/>
    <mergeCell ref="I226:K226"/>
    <mergeCell ref="F285:F287"/>
    <mergeCell ref="F280:F282"/>
    <mergeCell ref="F277:F279"/>
    <mergeCell ref="F275:F276"/>
    <mergeCell ref="F266:F273"/>
    <mergeCell ref="F264:F265"/>
    <mergeCell ref="F261:F263"/>
    <mergeCell ref="F255:F259"/>
    <mergeCell ref="F252:F254"/>
    <mergeCell ref="F250:F251"/>
    <mergeCell ref="F247:F248"/>
    <mergeCell ref="F243:F245"/>
    <mergeCell ref="I228:I229"/>
    <mergeCell ref="J228:J229"/>
    <mergeCell ref="K228:K229"/>
    <mergeCell ref="G230:G239"/>
    <mergeCell ref="H230:H239"/>
    <mergeCell ref="I230:I239"/>
    <mergeCell ref="J230:J239"/>
    <mergeCell ref="K230:K239"/>
    <mergeCell ref="G217:G219"/>
    <mergeCell ref="H217:H219"/>
    <mergeCell ref="I217:I219"/>
    <mergeCell ref="J217:J219"/>
    <mergeCell ref="K217:K219"/>
    <mergeCell ref="G215:G216"/>
    <mergeCell ref="H215:H216"/>
    <mergeCell ref="I215:I216"/>
    <mergeCell ref="J215:J216"/>
    <mergeCell ref="K215:K216"/>
    <mergeCell ref="K211:K212"/>
    <mergeCell ref="G213:G214"/>
    <mergeCell ref="H213:H214"/>
    <mergeCell ref="I213:I214"/>
    <mergeCell ref="J213:J214"/>
    <mergeCell ref="K213:K214"/>
    <mergeCell ref="G211:G212"/>
    <mergeCell ref="H211:H212"/>
    <mergeCell ref="I211:I212"/>
    <mergeCell ref="J211:J212"/>
    <mergeCell ref="I209:I210"/>
    <mergeCell ref="G209:G210"/>
    <mergeCell ref="H209:H210"/>
    <mergeCell ref="J209:J210"/>
    <mergeCell ref="K209:K210"/>
    <mergeCell ref="G207:G208"/>
    <mergeCell ref="H207:H208"/>
    <mergeCell ref="I207:I208"/>
    <mergeCell ref="J207:J208"/>
    <mergeCell ref="K207:K208"/>
    <mergeCell ref="G203:G205"/>
    <mergeCell ref="H203:H205"/>
    <mergeCell ref="I203:I205"/>
    <mergeCell ref="J203:J205"/>
    <mergeCell ref="K203:K205"/>
    <mergeCell ref="G201:G202"/>
    <mergeCell ref="H201:H202"/>
    <mergeCell ref="I201:I202"/>
    <mergeCell ref="J201:J202"/>
    <mergeCell ref="K201:K202"/>
    <mergeCell ref="G197:G199"/>
    <mergeCell ref="H197:H199"/>
    <mergeCell ref="I197:I199"/>
    <mergeCell ref="J197:J199"/>
    <mergeCell ref="K197:K199"/>
    <mergeCell ref="G195:G196"/>
    <mergeCell ref="H195:H196"/>
    <mergeCell ref="I195:I196"/>
    <mergeCell ref="J195:J196"/>
    <mergeCell ref="K195:K196"/>
    <mergeCell ref="G191:G193"/>
    <mergeCell ref="H191:H193"/>
    <mergeCell ref="I191:I193"/>
    <mergeCell ref="J191:J193"/>
    <mergeCell ref="K191:K193"/>
    <mergeCell ref="G189:G190"/>
    <mergeCell ref="H189:H190"/>
    <mergeCell ref="I189:I190"/>
    <mergeCell ref="J189:J190"/>
    <mergeCell ref="K189:K190"/>
    <mergeCell ref="G185:G188"/>
    <mergeCell ref="H185:H188"/>
    <mergeCell ref="I185:I188"/>
    <mergeCell ref="J185:J188"/>
    <mergeCell ref="K185:K188"/>
    <mergeCell ref="G181:G183"/>
    <mergeCell ref="H181:H183"/>
    <mergeCell ref="I181:I183"/>
    <mergeCell ref="J181:J183"/>
    <mergeCell ref="K181:K183"/>
    <mergeCell ref="F164:F176"/>
    <mergeCell ref="F161:F163"/>
    <mergeCell ref="G179:G180"/>
    <mergeCell ref="H179:H180"/>
    <mergeCell ref="I179:I180"/>
    <mergeCell ref="J179:J180"/>
    <mergeCell ref="K179:K180"/>
    <mergeCell ref="G164:G176"/>
    <mergeCell ref="H164:H176"/>
    <mergeCell ref="I164:I176"/>
    <mergeCell ref="J164:J176"/>
    <mergeCell ref="K164:K176"/>
    <mergeCell ref="B156:K156"/>
    <mergeCell ref="B157:K157"/>
    <mergeCell ref="F159:H159"/>
    <mergeCell ref="I159:K159"/>
    <mergeCell ref="F217:F219"/>
    <mergeCell ref="F215:F216"/>
    <mergeCell ref="F213:F214"/>
    <mergeCell ref="F211:F212"/>
    <mergeCell ref="F209:F210"/>
    <mergeCell ref="F207:F208"/>
    <mergeCell ref="F203:F205"/>
    <mergeCell ref="F201:F202"/>
    <mergeCell ref="F197:F199"/>
    <mergeCell ref="F195:F196"/>
    <mergeCell ref="F191:F193"/>
    <mergeCell ref="F189:F190"/>
    <mergeCell ref="G161:G163"/>
    <mergeCell ref="H161:H163"/>
    <mergeCell ref="I161:I163"/>
    <mergeCell ref="J161:J163"/>
    <mergeCell ref="K161:K163"/>
    <mergeCell ref="F185:F188"/>
    <mergeCell ref="F181:F183"/>
    <mergeCell ref="F179:F180"/>
    <mergeCell ref="G149:G151"/>
    <mergeCell ref="H149:H151"/>
    <mergeCell ref="I149:I151"/>
    <mergeCell ref="J149:J151"/>
    <mergeCell ref="K149:K151"/>
    <mergeCell ref="G145:G148"/>
    <mergeCell ref="H145:H148"/>
    <mergeCell ref="I145:I148"/>
    <mergeCell ref="J145:J148"/>
    <mergeCell ref="K145:K148"/>
    <mergeCell ref="G141:G142"/>
    <mergeCell ref="H141:H142"/>
    <mergeCell ref="I141:I142"/>
    <mergeCell ref="J141:J142"/>
    <mergeCell ref="K141:K142"/>
    <mergeCell ref="G137:G140"/>
    <mergeCell ref="H137:H140"/>
    <mergeCell ref="I137:I140"/>
    <mergeCell ref="J137:J140"/>
    <mergeCell ref="K137:K140"/>
    <mergeCell ref="G133:G136"/>
    <mergeCell ref="H133:H136"/>
    <mergeCell ref="I133:I136"/>
    <mergeCell ref="J133:J136"/>
    <mergeCell ref="K133:K136"/>
    <mergeCell ref="G131:G132"/>
    <mergeCell ref="H131:H132"/>
    <mergeCell ref="I131:I132"/>
    <mergeCell ref="J131:J132"/>
    <mergeCell ref="K131:K132"/>
    <mergeCell ref="G127:G129"/>
    <mergeCell ref="H127:H129"/>
    <mergeCell ref="I127:I129"/>
    <mergeCell ref="J127:J129"/>
    <mergeCell ref="K127:K129"/>
    <mergeCell ref="G124:G126"/>
    <mergeCell ref="H124:H126"/>
    <mergeCell ref="I124:I126"/>
    <mergeCell ref="J124:J126"/>
    <mergeCell ref="K124:K126"/>
    <mergeCell ref="G122:G123"/>
    <mergeCell ref="H122:H123"/>
    <mergeCell ref="I122:I123"/>
    <mergeCell ref="J122:J123"/>
    <mergeCell ref="K122:K123"/>
    <mergeCell ref="G120:G121"/>
    <mergeCell ref="H120:H121"/>
    <mergeCell ref="I120:I121"/>
    <mergeCell ref="J120:J121"/>
    <mergeCell ref="K120:K121"/>
    <mergeCell ref="I114:I119"/>
    <mergeCell ref="J114:J119"/>
    <mergeCell ref="K114:K119"/>
    <mergeCell ref="G111:G113"/>
    <mergeCell ref="H111:H113"/>
    <mergeCell ref="I111:I113"/>
    <mergeCell ref="J111:J113"/>
    <mergeCell ref="K111:K113"/>
    <mergeCell ref="G103:G110"/>
    <mergeCell ref="H103:H110"/>
    <mergeCell ref="I103:I110"/>
    <mergeCell ref="I61:I72"/>
    <mergeCell ref="J61:J72"/>
    <mergeCell ref="K61:K72"/>
    <mergeCell ref="I56:I60"/>
    <mergeCell ref="J56:J60"/>
    <mergeCell ref="K56:K60"/>
    <mergeCell ref="G54:G55"/>
    <mergeCell ref="H54:H55"/>
    <mergeCell ref="I54:I55"/>
    <mergeCell ref="J54:J55"/>
    <mergeCell ref="K54:K55"/>
    <mergeCell ref="G56:G60"/>
    <mergeCell ref="H56:H60"/>
    <mergeCell ref="G61:G72"/>
    <mergeCell ref="H61:H72"/>
    <mergeCell ref="K35:K36"/>
    <mergeCell ref="J35:J36"/>
    <mergeCell ref="I35:I36"/>
    <mergeCell ref="H35:H36"/>
    <mergeCell ref="I30:I32"/>
    <mergeCell ref="H30:H32"/>
    <mergeCell ref="G30:G32"/>
    <mergeCell ref="G49:G53"/>
    <mergeCell ref="H49:H53"/>
    <mergeCell ref="I49:I53"/>
    <mergeCell ref="J49:J53"/>
    <mergeCell ref="K49:K53"/>
    <mergeCell ref="G46:G47"/>
    <mergeCell ref="H46:H47"/>
    <mergeCell ref="I46:I47"/>
    <mergeCell ref="J46:J47"/>
    <mergeCell ref="K46:K47"/>
    <mergeCell ref="I37:I39"/>
    <mergeCell ref="J37:J39"/>
    <mergeCell ref="K30:K32"/>
    <mergeCell ref="J30:J32"/>
    <mergeCell ref="K40:K45"/>
    <mergeCell ref="F30:F32"/>
    <mergeCell ref="G37:G39"/>
    <mergeCell ref="H37:H39"/>
    <mergeCell ref="B7:K7"/>
    <mergeCell ref="B8:K8"/>
    <mergeCell ref="B13:B15"/>
    <mergeCell ref="F54:F55"/>
    <mergeCell ref="F49:F53"/>
    <mergeCell ref="F46:F47"/>
    <mergeCell ref="J16:J24"/>
    <mergeCell ref="K16:K24"/>
    <mergeCell ref="G27:G29"/>
    <mergeCell ref="H27:H29"/>
    <mergeCell ref="I27:I29"/>
    <mergeCell ref="J27:J29"/>
    <mergeCell ref="K27:K29"/>
    <mergeCell ref="F27:F29"/>
    <mergeCell ref="F16:F24"/>
    <mergeCell ref="G16:G24"/>
    <mergeCell ref="H16:H24"/>
    <mergeCell ref="I16:I24"/>
    <mergeCell ref="F40:F45"/>
    <mergeCell ref="F37:F39"/>
    <mergeCell ref="B2:W4"/>
    <mergeCell ref="D297:F297"/>
    <mergeCell ref="G297:I297"/>
    <mergeCell ref="B294:I294"/>
    <mergeCell ref="B295:I295"/>
    <mergeCell ref="F10:H10"/>
    <mergeCell ref="I10:K10"/>
    <mergeCell ref="F13:F15"/>
    <mergeCell ref="G13:G15"/>
    <mergeCell ref="H13:H15"/>
    <mergeCell ref="I13:I15"/>
    <mergeCell ref="J13:J15"/>
    <mergeCell ref="K13:K15"/>
    <mergeCell ref="G35:G36"/>
    <mergeCell ref="F35:F36"/>
    <mergeCell ref="K37:K39"/>
    <mergeCell ref="G40:G45"/>
    <mergeCell ref="H40:H45"/>
    <mergeCell ref="I40:I45"/>
    <mergeCell ref="J40:J45"/>
  </mergeCells>
  <pageMargins left="0.7" right="0.7" top="0.75" bottom="0.75" header="0.3" footer="0.3"/>
  <pageSetup paperSize="9" scale="1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341"/>
  <sheetViews>
    <sheetView showGridLines="0" topLeftCell="A300" zoomScale="55" zoomScaleNormal="55" zoomScaleSheetLayoutView="55" workbookViewId="0">
      <selection activeCell="P292" sqref="P292"/>
    </sheetView>
  </sheetViews>
  <sheetFormatPr defaultRowHeight="15" x14ac:dyDescent="0.25"/>
  <cols>
    <col min="2" max="2" width="22.85546875" customWidth="1"/>
    <col min="3" max="3" width="26.140625" customWidth="1"/>
    <col min="4" max="5" width="20.140625" bestFit="1" customWidth="1"/>
    <col min="6" max="6" width="15" bestFit="1" customWidth="1"/>
    <col min="7" max="8" width="20.140625" bestFit="1" customWidth="1"/>
    <col min="9" max="9" width="15" bestFit="1" customWidth="1"/>
    <col min="10" max="10" width="20.140625" bestFit="1" customWidth="1"/>
    <col min="11" max="11" width="15" bestFit="1" customWidth="1"/>
    <col min="12" max="12" width="14.5703125" bestFit="1" customWidth="1"/>
    <col min="13" max="13" width="17.140625" customWidth="1"/>
    <col min="14" max="14" width="18.85546875" bestFit="1" customWidth="1"/>
    <col min="15" max="15" width="12.28515625" bestFit="1" customWidth="1"/>
    <col min="16" max="16" width="20.140625" bestFit="1" customWidth="1"/>
    <col min="17" max="17" width="15" bestFit="1" customWidth="1"/>
  </cols>
  <sheetData>
    <row r="1" spans="2:23" ht="15.75" thickBot="1" x14ac:dyDescent="0.3"/>
    <row r="2" spans="2:23" x14ac:dyDescent="0.25">
      <c r="B2" s="409" t="s">
        <v>504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1"/>
    </row>
    <row r="3" spans="2:23" x14ac:dyDescent="0.25">
      <c r="B3" s="412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4"/>
    </row>
    <row r="4" spans="2:23" ht="15.75" thickBot="1" x14ac:dyDescent="0.3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7"/>
    </row>
    <row r="6" spans="2:23" ht="15.75" thickBot="1" x14ac:dyDescent="0.3"/>
    <row r="7" spans="2:23" ht="27" thickBot="1" x14ac:dyDescent="0.45">
      <c r="B7" s="394" t="s">
        <v>394</v>
      </c>
      <c r="C7" s="430"/>
      <c r="D7" s="430"/>
      <c r="E7" s="430"/>
      <c r="F7" s="430"/>
      <c r="G7" s="430"/>
      <c r="H7" s="430"/>
      <c r="I7" s="430"/>
      <c r="J7" s="430"/>
      <c r="K7" s="431"/>
    </row>
    <row r="8" spans="2:23" ht="21.75" thickBot="1" x14ac:dyDescent="0.4">
      <c r="B8" s="397" t="s">
        <v>398</v>
      </c>
      <c r="C8" s="398"/>
      <c r="D8" s="398"/>
      <c r="E8" s="398"/>
      <c r="F8" s="398"/>
      <c r="G8" s="398"/>
      <c r="H8" s="398"/>
      <c r="I8" s="398"/>
      <c r="J8" s="398"/>
      <c r="K8" s="399"/>
    </row>
    <row r="10" spans="2:23" ht="15.75" thickBot="1" x14ac:dyDescent="0.3"/>
    <row r="11" spans="2:23" ht="19.5" thickBot="1" x14ac:dyDescent="0.3">
      <c r="B11" s="177"/>
      <c r="C11" s="178"/>
      <c r="D11" s="178"/>
      <c r="E11" s="178"/>
      <c r="F11" s="421" t="s">
        <v>389</v>
      </c>
      <c r="G11" s="421"/>
      <c r="H11" s="421"/>
      <c r="I11" s="421" t="s">
        <v>390</v>
      </c>
      <c r="J11" s="421"/>
      <c r="K11" s="422"/>
    </row>
    <row r="12" spans="2:23" ht="18.75" x14ac:dyDescent="0.25">
      <c r="B12" s="180" t="s">
        <v>262</v>
      </c>
      <c r="C12" s="179" t="s">
        <v>473</v>
      </c>
      <c r="D12" s="179" t="s">
        <v>267</v>
      </c>
      <c r="E12" s="179" t="s">
        <v>268</v>
      </c>
      <c r="F12" s="179" t="s">
        <v>473</v>
      </c>
      <c r="G12" s="179" t="s">
        <v>267</v>
      </c>
      <c r="H12" s="179" t="s">
        <v>268</v>
      </c>
      <c r="I12" s="179" t="s">
        <v>473</v>
      </c>
      <c r="J12" s="179" t="s">
        <v>267</v>
      </c>
      <c r="K12" s="181" t="s">
        <v>268</v>
      </c>
      <c r="N12" s="208" t="s">
        <v>262</v>
      </c>
      <c r="O12" s="209" t="s">
        <v>473</v>
      </c>
      <c r="P12" s="209" t="s">
        <v>267</v>
      </c>
      <c r="Q12" s="210" t="s">
        <v>268</v>
      </c>
    </row>
    <row r="13" spans="2:23" x14ac:dyDescent="0.25">
      <c r="B13" s="522" t="s">
        <v>315</v>
      </c>
      <c r="C13" s="271">
        <v>338</v>
      </c>
      <c r="D13" s="271">
        <v>102</v>
      </c>
      <c r="E13" s="272">
        <v>86</v>
      </c>
      <c r="F13" s="506">
        <f>+SUM(C13:C14)</f>
        <v>2438</v>
      </c>
      <c r="G13" s="508">
        <f>+SUM(D13:D14)</f>
        <v>444</v>
      </c>
      <c r="H13" s="510">
        <f>+SUM(E13:E14)</f>
        <v>426</v>
      </c>
      <c r="I13" s="506">
        <f>+AVERAGE(C13:C14)</f>
        <v>1219</v>
      </c>
      <c r="J13" s="508">
        <f>+AVERAGE(D13:D14)</f>
        <v>222</v>
      </c>
      <c r="K13" s="510">
        <f>+AVERAGE(E13:E14)</f>
        <v>213</v>
      </c>
      <c r="N13" s="78" t="s">
        <v>315</v>
      </c>
      <c r="O13" s="98">
        <f>+AVERAGE(I13:I14)</f>
        <v>1219</v>
      </c>
      <c r="P13" s="109">
        <f>+AVERAGE(J13:J14)</f>
        <v>222</v>
      </c>
      <c r="Q13" s="99">
        <f>+AVERAGE(K13:K14)</f>
        <v>213</v>
      </c>
    </row>
    <row r="14" spans="2:23" x14ac:dyDescent="0.25">
      <c r="B14" s="543"/>
      <c r="C14" s="230">
        <v>2100</v>
      </c>
      <c r="D14" s="230">
        <v>342</v>
      </c>
      <c r="E14" s="273">
        <v>340</v>
      </c>
      <c r="F14" s="506"/>
      <c r="G14" s="508"/>
      <c r="H14" s="510"/>
      <c r="I14" s="506"/>
      <c r="J14" s="508"/>
      <c r="K14" s="510"/>
      <c r="N14" s="26" t="s">
        <v>293</v>
      </c>
      <c r="O14" s="100">
        <f>+AVERAGE(I15:I27)</f>
        <v>530.15384615384619</v>
      </c>
      <c r="P14" s="100">
        <f>+AVERAGE(J15:J27)</f>
        <v>89.307692307692307</v>
      </c>
      <c r="Q14" s="101">
        <f>+AVERAGE(K15:K27)</f>
        <v>149.76923076923077</v>
      </c>
    </row>
    <row r="15" spans="2:23" x14ac:dyDescent="0.25">
      <c r="B15" s="524" t="s">
        <v>293</v>
      </c>
      <c r="C15" s="318">
        <v>305</v>
      </c>
      <c r="D15" s="318">
        <v>84</v>
      </c>
      <c r="E15" s="319">
        <v>24</v>
      </c>
      <c r="F15" s="515">
        <f>+SUM(C15:C27)</f>
        <v>6892</v>
      </c>
      <c r="G15" s="519">
        <f>+SUM(D15:D27)</f>
        <v>1161</v>
      </c>
      <c r="H15" s="504">
        <f>+SUM(E15:E27)</f>
        <v>1947</v>
      </c>
      <c r="I15" s="515">
        <f>+AVERAGE(C15:C27)</f>
        <v>530.15384615384619</v>
      </c>
      <c r="J15" s="519">
        <f>+AVERAGE(D15:D27)</f>
        <v>89.307692307692307</v>
      </c>
      <c r="K15" s="504">
        <f>+AVERAGE(E15:E27)</f>
        <v>149.76923076923077</v>
      </c>
      <c r="N15" s="78" t="s">
        <v>362</v>
      </c>
      <c r="O15" s="98">
        <f>+AVERAGE(I28:I32)</f>
        <v>2281.8000000000002</v>
      </c>
      <c r="P15" s="98">
        <f>+AVERAGE(J28:J32)</f>
        <v>164</v>
      </c>
      <c r="Q15" s="99">
        <f>+AVERAGE(K28:K32)</f>
        <v>342.4</v>
      </c>
    </row>
    <row r="16" spans="2:23" x14ac:dyDescent="0.25">
      <c r="B16" s="525"/>
      <c r="C16" s="320">
        <v>810</v>
      </c>
      <c r="D16" s="320">
        <v>179</v>
      </c>
      <c r="E16" s="321">
        <v>465</v>
      </c>
      <c r="F16" s="515"/>
      <c r="G16" s="519"/>
      <c r="H16" s="504"/>
      <c r="I16" s="515"/>
      <c r="J16" s="519"/>
      <c r="K16" s="504"/>
      <c r="N16" s="26" t="s">
        <v>283</v>
      </c>
      <c r="O16" s="100">
        <f>+AVERAGE(I33:I45)</f>
        <v>2695.4615384615386</v>
      </c>
      <c r="P16" s="100">
        <f>+AVERAGE(J33:J45)</f>
        <v>87.307692307692307</v>
      </c>
      <c r="Q16" s="101">
        <f>+AVERAGE(K33:K45)</f>
        <v>157.61538461538461</v>
      </c>
    </row>
    <row r="17" spans="2:18" x14ac:dyDescent="0.25">
      <c r="B17" s="525"/>
      <c r="C17" s="318">
        <v>360</v>
      </c>
      <c r="D17" s="318">
        <v>101</v>
      </c>
      <c r="E17" s="319">
        <v>61</v>
      </c>
      <c r="F17" s="515"/>
      <c r="G17" s="519"/>
      <c r="H17" s="504"/>
      <c r="I17" s="515"/>
      <c r="J17" s="519"/>
      <c r="K17" s="504"/>
      <c r="N17" s="78" t="s">
        <v>273</v>
      </c>
      <c r="O17" s="229">
        <f>+AVERAGE(I46:I47)</f>
        <v>539.5</v>
      </c>
      <c r="P17" s="98">
        <f>+AVERAGE(J46:J47)</f>
        <v>147</v>
      </c>
      <c r="Q17" s="99">
        <f>+AVERAGE(K46:K47)</f>
        <v>91.5</v>
      </c>
    </row>
    <row r="18" spans="2:18" ht="15.75" thickBot="1" x14ac:dyDescent="0.3">
      <c r="B18" s="525"/>
      <c r="C18" s="322">
        <v>444</v>
      </c>
      <c r="D18" s="322">
        <v>121</v>
      </c>
      <c r="E18" s="323">
        <v>80</v>
      </c>
      <c r="F18" s="515"/>
      <c r="G18" s="519"/>
      <c r="H18" s="504"/>
      <c r="I18" s="515"/>
      <c r="J18" s="519"/>
      <c r="K18" s="504"/>
      <c r="N18" s="27" t="s">
        <v>292</v>
      </c>
      <c r="O18" s="102">
        <f>+AVERAGE(I48:I73)</f>
        <v>735.34615384615381</v>
      </c>
      <c r="P18" s="102">
        <f>+AVERAGE(J48:J73)</f>
        <v>72.038461538461533</v>
      </c>
      <c r="Q18" s="103">
        <f>+AVERAGE(K48:K73)</f>
        <v>137.11538461538461</v>
      </c>
    </row>
    <row r="19" spans="2:18" x14ac:dyDescent="0.25">
      <c r="B19" s="525"/>
      <c r="C19" s="318">
        <v>552</v>
      </c>
      <c r="D19" s="318">
        <v>72</v>
      </c>
      <c r="E19" s="319">
        <v>69</v>
      </c>
      <c r="F19" s="515"/>
      <c r="G19" s="519"/>
      <c r="H19" s="504"/>
      <c r="I19" s="515"/>
      <c r="J19" s="519"/>
      <c r="K19" s="504"/>
    </row>
    <row r="20" spans="2:18" x14ac:dyDescent="0.25">
      <c r="B20" s="525"/>
      <c r="C20" s="320">
        <v>343</v>
      </c>
      <c r="D20" s="320">
        <v>75</v>
      </c>
      <c r="E20" s="321">
        <v>59</v>
      </c>
      <c r="F20" s="515"/>
      <c r="G20" s="519"/>
      <c r="H20" s="504"/>
      <c r="I20" s="515"/>
      <c r="J20" s="519"/>
      <c r="K20" s="504"/>
      <c r="L20" s="18"/>
      <c r="M20" s="19"/>
      <c r="N20" s="19"/>
      <c r="O20" s="19"/>
      <c r="P20" s="19"/>
      <c r="Q20" s="19"/>
      <c r="R20" s="19"/>
    </row>
    <row r="21" spans="2:18" x14ac:dyDescent="0.25">
      <c r="B21" s="525"/>
      <c r="C21" s="318">
        <v>559</v>
      </c>
      <c r="D21" s="318">
        <v>63</v>
      </c>
      <c r="E21" s="319">
        <v>83</v>
      </c>
      <c r="F21" s="515"/>
      <c r="G21" s="519"/>
      <c r="H21" s="504"/>
      <c r="I21" s="515"/>
      <c r="J21" s="519"/>
      <c r="K21" s="504"/>
    </row>
    <row r="22" spans="2:18" x14ac:dyDescent="0.25">
      <c r="B22" s="525"/>
      <c r="C22" s="320">
        <v>1088</v>
      </c>
      <c r="D22" s="320">
        <v>122</v>
      </c>
      <c r="E22" s="321">
        <v>437</v>
      </c>
      <c r="F22" s="515"/>
      <c r="G22" s="519"/>
      <c r="H22" s="504"/>
      <c r="I22" s="515"/>
      <c r="J22" s="519"/>
      <c r="K22" s="504"/>
    </row>
    <row r="23" spans="2:18" x14ac:dyDescent="0.25">
      <c r="B23" s="525"/>
      <c r="C23" s="322">
        <v>928</v>
      </c>
      <c r="D23" s="322">
        <v>113</v>
      </c>
      <c r="E23" s="323">
        <v>166</v>
      </c>
      <c r="F23" s="515"/>
      <c r="G23" s="519"/>
      <c r="H23" s="504"/>
      <c r="I23" s="515"/>
      <c r="J23" s="519"/>
      <c r="K23" s="504"/>
    </row>
    <row r="24" spans="2:18" x14ac:dyDescent="0.25">
      <c r="B24" s="525"/>
      <c r="C24" s="320">
        <v>513</v>
      </c>
      <c r="D24" s="320">
        <v>81</v>
      </c>
      <c r="E24" s="321">
        <v>157</v>
      </c>
      <c r="F24" s="515"/>
      <c r="G24" s="519"/>
      <c r="H24" s="504"/>
      <c r="I24" s="515"/>
      <c r="J24" s="519"/>
      <c r="K24" s="504"/>
    </row>
    <row r="25" spans="2:18" x14ac:dyDescent="0.25">
      <c r="B25" s="525"/>
      <c r="C25" s="318">
        <v>485</v>
      </c>
      <c r="D25" s="318">
        <v>49</v>
      </c>
      <c r="E25" s="319">
        <v>139</v>
      </c>
      <c r="F25" s="515"/>
      <c r="G25" s="519"/>
      <c r="H25" s="504"/>
      <c r="I25" s="515"/>
      <c r="J25" s="519"/>
      <c r="K25" s="504"/>
    </row>
    <row r="26" spans="2:18" x14ac:dyDescent="0.25">
      <c r="B26" s="525"/>
      <c r="C26" s="322">
        <v>340</v>
      </c>
      <c r="D26" s="322">
        <v>39</v>
      </c>
      <c r="E26" s="323">
        <v>71</v>
      </c>
      <c r="F26" s="515"/>
      <c r="G26" s="519"/>
      <c r="H26" s="504"/>
      <c r="I26" s="515"/>
      <c r="J26" s="519"/>
      <c r="K26" s="504"/>
    </row>
    <row r="27" spans="2:18" x14ac:dyDescent="0.25">
      <c r="B27" s="526"/>
      <c r="C27" s="318">
        <v>165</v>
      </c>
      <c r="D27" s="318">
        <v>62</v>
      </c>
      <c r="E27" s="319">
        <v>136</v>
      </c>
      <c r="F27" s="515"/>
      <c r="G27" s="519"/>
      <c r="H27" s="504"/>
      <c r="I27" s="515"/>
      <c r="J27" s="519"/>
      <c r="K27" s="504"/>
    </row>
    <row r="28" spans="2:18" x14ac:dyDescent="0.25">
      <c r="B28" s="476" t="s">
        <v>362</v>
      </c>
      <c r="C28" s="230">
        <v>1100</v>
      </c>
      <c r="D28" s="230">
        <v>84</v>
      </c>
      <c r="E28" s="273">
        <v>217</v>
      </c>
      <c r="F28" s="506">
        <f>+SUM(C28:C32)</f>
        <v>11409</v>
      </c>
      <c r="G28" s="508">
        <f>+SUM(D28:D32)</f>
        <v>820</v>
      </c>
      <c r="H28" s="510">
        <f>+SUM(E28:E32)</f>
        <v>1712</v>
      </c>
      <c r="I28" s="506">
        <f>+AVERAGE(C28:C32)</f>
        <v>2281.8000000000002</v>
      </c>
      <c r="J28" s="508">
        <f>+AVERAGE(D28:D32)</f>
        <v>164</v>
      </c>
      <c r="K28" s="510">
        <f>+AVERAGE(E28:E32)</f>
        <v>342.4</v>
      </c>
    </row>
    <row r="29" spans="2:18" x14ac:dyDescent="0.25">
      <c r="B29" s="471"/>
      <c r="C29" s="266">
        <v>6100</v>
      </c>
      <c r="D29" s="266">
        <v>385</v>
      </c>
      <c r="E29" s="274">
        <v>737</v>
      </c>
      <c r="F29" s="506"/>
      <c r="G29" s="508"/>
      <c r="H29" s="510"/>
      <c r="I29" s="506"/>
      <c r="J29" s="508"/>
      <c r="K29" s="510"/>
    </row>
    <row r="30" spans="2:18" x14ac:dyDescent="0.25">
      <c r="B30" s="471"/>
      <c r="C30" s="230">
        <v>895</v>
      </c>
      <c r="D30" s="230">
        <v>86</v>
      </c>
      <c r="E30" s="273">
        <v>300</v>
      </c>
      <c r="F30" s="506"/>
      <c r="G30" s="508"/>
      <c r="H30" s="510"/>
      <c r="I30" s="506"/>
      <c r="J30" s="508"/>
      <c r="K30" s="510"/>
    </row>
    <row r="31" spans="2:18" x14ac:dyDescent="0.25">
      <c r="B31" s="471"/>
      <c r="C31" s="259">
        <v>314</v>
      </c>
      <c r="D31" s="259">
        <v>60</v>
      </c>
      <c r="E31" s="275">
        <v>55</v>
      </c>
      <c r="F31" s="506"/>
      <c r="G31" s="508"/>
      <c r="H31" s="510"/>
      <c r="I31" s="506"/>
      <c r="J31" s="508"/>
      <c r="K31" s="510"/>
    </row>
    <row r="32" spans="2:18" x14ac:dyDescent="0.25">
      <c r="B32" s="472"/>
      <c r="C32" s="276">
        <v>3000</v>
      </c>
      <c r="D32" s="276">
        <v>205</v>
      </c>
      <c r="E32" s="277">
        <v>403</v>
      </c>
      <c r="F32" s="506"/>
      <c r="G32" s="508"/>
      <c r="H32" s="510"/>
      <c r="I32" s="506"/>
      <c r="J32" s="508"/>
      <c r="K32" s="510"/>
    </row>
    <row r="33" spans="2:12" x14ac:dyDescent="0.25">
      <c r="B33" s="512" t="s">
        <v>283</v>
      </c>
      <c r="C33" s="320">
        <v>110</v>
      </c>
      <c r="D33" s="320">
        <v>39</v>
      </c>
      <c r="E33" s="321">
        <v>13</v>
      </c>
      <c r="F33" s="515">
        <f>+SUM(C33:C45)</f>
        <v>35041</v>
      </c>
      <c r="G33" s="519">
        <f>+SUM(D33:D45)</f>
        <v>1135</v>
      </c>
      <c r="H33" s="504">
        <f>+SUM(E33:E45)</f>
        <v>2049</v>
      </c>
      <c r="I33" s="515">
        <f>+AVERAGE(C33:C45)</f>
        <v>2695.4615384615386</v>
      </c>
      <c r="J33" s="519">
        <f>+AVERAGE(D33:D45)</f>
        <v>87.307692307692307</v>
      </c>
      <c r="K33" s="504">
        <f>+AVERAGE(E33:E45)</f>
        <v>157.61538461538461</v>
      </c>
      <c r="L33" s="324"/>
    </row>
    <row r="34" spans="2:12" x14ac:dyDescent="0.25">
      <c r="B34" s="513"/>
      <c r="C34" s="318">
        <v>11000</v>
      </c>
      <c r="D34" s="318">
        <v>333</v>
      </c>
      <c r="E34" s="319">
        <v>108</v>
      </c>
      <c r="F34" s="515"/>
      <c r="G34" s="519"/>
      <c r="H34" s="504"/>
      <c r="I34" s="515"/>
      <c r="J34" s="519"/>
      <c r="K34" s="504"/>
      <c r="L34" s="324"/>
    </row>
    <row r="35" spans="2:12" x14ac:dyDescent="0.25">
      <c r="B35" s="513"/>
      <c r="C35" s="320">
        <v>9500</v>
      </c>
      <c r="D35" s="320">
        <v>197</v>
      </c>
      <c r="E35" s="321">
        <v>440</v>
      </c>
      <c r="F35" s="515"/>
      <c r="G35" s="519"/>
      <c r="H35" s="504"/>
      <c r="I35" s="515"/>
      <c r="J35" s="519"/>
      <c r="K35" s="504"/>
      <c r="L35" s="324"/>
    </row>
    <row r="36" spans="2:12" x14ac:dyDescent="0.25">
      <c r="B36" s="513"/>
      <c r="C36" s="318">
        <v>288</v>
      </c>
      <c r="D36" s="318">
        <v>29</v>
      </c>
      <c r="E36" s="319">
        <v>127</v>
      </c>
      <c r="F36" s="515"/>
      <c r="G36" s="519"/>
      <c r="H36" s="504"/>
      <c r="I36" s="515"/>
      <c r="J36" s="519"/>
      <c r="K36" s="504"/>
      <c r="L36" s="324"/>
    </row>
    <row r="37" spans="2:12" x14ac:dyDescent="0.25">
      <c r="B37" s="513"/>
      <c r="C37" s="320">
        <v>140</v>
      </c>
      <c r="D37" s="320">
        <v>19</v>
      </c>
      <c r="E37" s="321">
        <v>18</v>
      </c>
      <c r="F37" s="515"/>
      <c r="G37" s="519"/>
      <c r="H37" s="504"/>
      <c r="I37" s="515"/>
      <c r="J37" s="519"/>
      <c r="K37" s="504"/>
      <c r="L37" s="324"/>
    </row>
    <row r="38" spans="2:12" x14ac:dyDescent="0.25">
      <c r="B38" s="513"/>
      <c r="C38" s="318">
        <v>7000</v>
      </c>
      <c r="D38" s="318">
        <v>108</v>
      </c>
      <c r="E38" s="319">
        <v>424</v>
      </c>
      <c r="F38" s="515"/>
      <c r="G38" s="519"/>
      <c r="H38" s="504"/>
      <c r="I38" s="515"/>
      <c r="J38" s="519"/>
      <c r="K38" s="504"/>
      <c r="L38" s="324"/>
    </row>
    <row r="39" spans="2:12" x14ac:dyDescent="0.25">
      <c r="B39" s="513"/>
      <c r="C39" s="320">
        <v>305</v>
      </c>
      <c r="D39" s="320">
        <v>23</v>
      </c>
      <c r="E39" s="321">
        <v>34</v>
      </c>
      <c r="F39" s="515"/>
      <c r="G39" s="519"/>
      <c r="H39" s="504"/>
      <c r="I39" s="515"/>
      <c r="J39" s="519"/>
      <c r="K39" s="504"/>
      <c r="L39" s="324"/>
    </row>
    <row r="40" spans="2:12" x14ac:dyDescent="0.25">
      <c r="B40" s="513"/>
      <c r="C40" s="318">
        <v>1300</v>
      </c>
      <c r="D40" s="318">
        <v>114</v>
      </c>
      <c r="E40" s="319">
        <v>178</v>
      </c>
      <c r="F40" s="515"/>
      <c r="G40" s="519"/>
      <c r="H40" s="504"/>
      <c r="I40" s="515"/>
      <c r="J40" s="519"/>
      <c r="K40" s="504"/>
      <c r="L40" s="324"/>
    </row>
    <row r="41" spans="2:12" x14ac:dyDescent="0.25">
      <c r="B41" s="513"/>
      <c r="C41" s="320">
        <v>93</v>
      </c>
      <c r="D41" s="320">
        <v>17</v>
      </c>
      <c r="E41" s="321">
        <v>3</v>
      </c>
      <c r="F41" s="515"/>
      <c r="G41" s="519"/>
      <c r="H41" s="504"/>
      <c r="I41" s="515"/>
      <c r="J41" s="519"/>
      <c r="K41" s="504"/>
      <c r="L41" s="324"/>
    </row>
    <row r="42" spans="2:12" x14ac:dyDescent="0.25">
      <c r="B42" s="513"/>
      <c r="C42" s="322">
        <v>345</v>
      </c>
      <c r="D42" s="322">
        <v>42</v>
      </c>
      <c r="E42" s="323">
        <v>68</v>
      </c>
      <c r="F42" s="515"/>
      <c r="G42" s="519"/>
      <c r="H42" s="504"/>
      <c r="I42" s="515"/>
      <c r="J42" s="519"/>
      <c r="K42" s="504"/>
      <c r="L42" s="324"/>
    </row>
    <row r="43" spans="2:12" x14ac:dyDescent="0.25">
      <c r="B43" s="513"/>
      <c r="C43" s="320">
        <v>273</v>
      </c>
      <c r="D43" s="320">
        <v>29</v>
      </c>
      <c r="E43" s="321">
        <v>31</v>
      </c>
      <c r="F43" s="515"/>
      <c r="G43" s="519"/>
      <c r="H43" s="504"/>
      <c r="I43" s="515"/>
      <c r="J43" s="519"/>
      <c r="K43" s="504"/>
      <c r="L43" s="324"/>
    </row>
    <row r="44" spans="2:12" x14ac:dyDescent="0.25">
      <c r="B44" s="513"/>
      <c r="C44" s="322">
        <v>4300</v>
      </c>
      <c r="D44" s="322">
        <v>163</v>
      </c>
      <c r="E44" s="323">
        <v>553</v>
      </c>
      <c r="F44" s="515"/>
      <c r="G44" s="519"/>
      <c r="H44" s="504"/>
      <c r="I44" s="515"/>
      <c r="J44" s="519"/>
      <c r="K44" s="504"/>
      <c r="L44" s="324"/>
    </row>
    <row r="45" spans="2:12" x14ac:dyDescent="0.25">
      <c r="B45" s="514"/>
      <c r="C45" s="320">
        <v>387</v>
      </c>
      <c r="D45" s="320">
        <v>22</v>
      </c>
      <c r="E45" s="321">
        <v>52</v>
      </c>
      <c r="F45" s="515"/>
      <c r="G45" s="519"/>
      <c r="H45" s="504"/>
      <c r="I45" s="515"/>
      <c r="J45" s="519"/>
      <c r="K45" s="504"/>
      <c r="L45" s="324"/>
    </row>
    <row r="46" spans="2:12" x14ac:dyDescent="0.25">
      <c r="B46" s="521" t="s">
        <v>273</v>
      </c>
      <c r="C46" s="266">
        <v>807</v>
      </c>
      <c r="D46" s="266">
        <v>217</v>
      </c>
      <c r="E46" s="274">
        <v>123</v>
      </c>
      <c r="F46" s="506">
        <f>+SUM(C46:C47)</f>
        <v>1079</v>
      </c>
      <c r="G46" s="508">
        <f>+SUM(D46:D47)</f>
        <v>294</v>
      </c>
      <c r="H46" s="510">
        <f>+SUM(E46:E47)</f>
        <v>183</v>
      </c>
      <c r="I46" s="506">
        <f>+AVERAGE(C46:C47)</f>
        <v>539.5</v>
      </c>
      <c r="J46" s="508">
        <f>+AVERAGE(D46:D47)</f>
        <v>147</v>
      </c>
      <c r="K46" s="510">
        <f>+AVERAGE(E46:E47)</f>
        <v>91.5</v>
      </c>
    </row>
    <row r="47" spans="2:12" x14ac:dyDescent="0.25">
      <c r="B47" s="543"/>
      <c r="C47" s="266">
        <v>272</v>
      </c>
      <c r="D47" s="266">
        <v>77</v>
      </c>
      <c r="E47" s="274">
        <v>60</v>
      </c>
      <c r="F47" s="506"/>
      <c r="G47" s="508"/>
      <c r="H47" s="510"/>
      <c r="I47" s="506"/>
      <c r="J47" s="508"/>
      <c r="K47" s="510"/>
    </row>
    <row r="48" spans="2:12" x14ac:dyDescent="0.25">
      <c r="B48" s="537" t="s">
        <v>292</v>
      </c>
      <c r="C48" s="325">
        <v>661</v>
      </c>
      <c r="D48" s="325">
        <v>38</v>
      </c>
      <c r="E48" s="326">
        <v>127</v>
      </c>
      <c r="F48" s="515">
        <f>+SUM(C48:C73)</f>
        <v>19119</v>
      </c>
      <c r="G48" s="519">
        <f>+SUM(D48:D73)</f>
        <v>1873</v>
      </c>
      <c r="H48" s="504">
        <f>+SUM(E48:E73)</f>
        <v>3565</v>
      </c>
      <c r="I48" s="515">
        <f>+AVERAGE(C48:C73)</f>
        <v>735.34615384615381</v>
      </c>
      <c r="J48" s="519">
        <f>+AVERAGE(D48:D73)</f>
        <v>72.038461538461533</v>
      </c>
      <c r="K48" s="504">
        <f>+AVERAGE(E48:E73)</f>
        <v>137.11538461538461</v>
      </c>
    </row>
    <row r="49" spans="2:11" x14ac:dyDescent="0.25">
      <c r="B49" s="538"/>
      <c r="C49" s="320">
        <v>388</v>
      </c>
      <c r="D49" s="320">
        <v>57</v>
      </c>
      <c r="E49" s="321">
        <v>93</v>
      </c>
      <c r="F49" s="515"/>
      <c r="G49" s="519"/>
      <c r="H49" s="504"/>
      <c r="I49" s="515"/>
      <c r="J49" s="519"/>
      <c r="K49" s="504"/>
    </row>
    <row r="50" spans="2:11" x14ac:dyDescent="0.25">
      <c r="B50" s="538"/>
      <c r="C50" s="318">
        <v>282</v>
      </c>
      <c r="D50" s="318">
        <v>24</v>
      </c>
      <c r="E50" s="319">
        <v>120</v>
      </c>
      <c r="F50" s="515"/>
      <c r="G50" s="519"/>
      <c r="H50" s="504"/>
      <c r="I50" s="515"/>
      <c r="J50" s="519"/>
      <c r="K50" s="504"/>
    </row>
    <row r="51" spans="2:11" x14ac:dyDescent="0.25">
      <c r="B51" s="538"/>
      <c r="C51" s="320">
        <v>527</v>
      </c>
      <c r="D51" s="320">
        <v>141</v>
      </c>
      <c r="E51" s="321">
        <v>132</v>
      </c>
      <c r="F51" s="515"/>
      <c r="G51" s="519"/>
      <c r="H51" s="504"/>
      <c r="I51" s="515"/>
      <c r="J51" s="519"/>
      <c r="K51" s="504"/>
    </row>
    <row r="52" spans="2:11" x14ac:dyDescent="0.25">
      <c r="B52" s="538"/>
      <c r="C52" s="318">
        <v>885</v>
      </c>
      <c r="D52" s="318">
        <v>150</v>
      </c>
      <c r="E52" s="319">
        <v>53</v>
      </c>
      <c r="F52" s="515"/>
      <c r="G52" s="519"/>
      <c r="H52" s="504"/>
      <c r="I52" s="515"/>
      <c r="J52" s="519"/>
      <c r="K52" s="504"/>
    </row>
    <row r="53" spans="2:11" x14ac:dyDescent="0.25">
      <c r="B53" s="538"/>
      <c r="C53" s="320">
        <v>1100</v>
      </c>
      <c r="D53" s="320">
        <v>108</v>
      </c>
      <c r="E53" s="321">
        <v>144</v>
      </c>
      <c r="F53" s="515"/>
      <c r="G53" s="519"/>
      <c r="H53" s="504"/>
      <c r="I53" s="515"/>
      <c r="J53" s="519"/>
      <c r="K53" s="504"/>
    </row>
    <row r="54" spans="2:11" x14ac:dyDescent="0.25">
      <c r="B54" s="538"/>
      <c r="C54" s="318">
        <v>537</v>
      </c>
      <c r="D54" s="318">
        <v>51</v>
      </c>
      <c r="E54" s="319">
        <v>113</v>
      </c>
      <c r="F54" s="515"/>
      <c r="G54" s="519"/>
      <c r="H54" s="504"/>
      <c r="I54" s="515"/>
      <c r="J54" s="519"/>
      <c r="K54" s="504"/>
    </row>
    <row r="55" spans="2:11" x14ac:dyDescent="0.25">
      <c r="B55" s="538"/>
      <c r="C55" s="320">
        <v>227</v>
      </c>
      <c r="D55" s="320">
        <v>31</v>
      </c>
      <c r="E55" s="321">
        <v>56</v>
      </c>
      <c r="F55" s="515"/>
      <c r="G55" s="519"/>
      <c r="H55" s="504"/>
      <c r="I55" s="515"/>
      <c r="J55" s="519"/>
      <c r="K55" s="504"/>
    </row>
    <row r="56" spans="2:11" x14ac:dyDescent="0.25">
      <c r="B56" s="538"/>
      <c r="C56" s="318">
        <v>482</v>
      </c>
      <c r="D56" s="318">
        <v>55</v>
      </c>
      <c r="E56" s="319">
        <v>94</v>
      </c>
      <c r="F56" s="515"/>
      <c r="G56" s="519"/>
      <c r="H56" s="504"/>
      <c r="I56" s="515"/>
      <c r="J56" s="519"/>
      <c r="K56" s="504"/>
    </row>
    <row r="57" spans="2:11" x14ac:dyDescent="0.25">
      <c r="B57" s="538"/>
      <c r="C57" s="320">
        <v>284</v>
      </c>
      <c r="D57" s="320">
        <v>47</v>
      </c>
      <c r="E57" s="321">
        <v>163</v>
      </c>
      <c r="F57" s="515"/>
      <c r="G57" s="519"/>
      <c r="H57" s="504"/>
      <c r="I57" s="515"/>
      <c r="J57" s="519"/>
      <c r="K57" s="504"/>
    </row>
    <row r="58" spans="2:11" x14ac:dyDescent="0.25">
      <c r="B58" s="538"/>
      <c r="C58" s="318">
        <v>4100</v>
      </c>
      <c r="D58" s="318">
        <v>165</v>
      </c>
      <c r="E58" s="319">
        <v>629</v>
      </c>
      <c r="F58" s="515"/>
      <c r="G58" s="519"/>
      <c r="H58" s="504"/>
      <c r="I58" s="515"/>
      <c r="J58" s="519"/>
      <c r="K58" s="504"/>
    </row>
    <row r="59" spans="2:11" x14ac:dyDescent="0.25">
      <c r="B59" s="538"/>
      <c r="C59" s="320">
        <v>2300</v>
      </c>
      <c r="D59" s="320">
        <v>133</v>
      </c>
      <c r="E59" s="321">
        <v>167</v>
      </c>
      <c r="F59" s="515"/>
      <c r="G59" s="519"/>
      <c r="H59" s="504"/>
      <c r="I59" s="515"/>
      <c r="J59" s="519"/>
      <c r="K59" s="504"/>
    </row>
    <row r="60" spans="2:11" x14ac:dyDescent="0.25">
      <c r="B60" s="538"/>
      <c r="C60" s="318">
        <v>568</v>
      </c>
      <c r="D60" s="318">
        <v>110</v>
      </c>
      <c r="E60" s="319">
        <v>90</v>
      </c>
      <c r="F60" s="515"/>
      <c r="G60" s="519"/>
      <c r="H60" s="504"/>
      <c r="I60" s="515"/>
      <c r="J60" s="519"/>
      <c r="K60" s="504"/>
    </row>
    <row r="61" spans="2:11" x14ac:dyDescent="0.25">
      <c r="B61" s="538"/>
      <c r="C61" s="320">
        <v>515</v>
      </c>
      <c r="D61" s="320">
        <v>93</v>
      </c>
      <c r="E61" s="321">
        <v>104</v>
      </c>
      <c r="F61" s="515"/>
      <c r="G61" s="519"/>
      <c r="H61" s="504"/>
      <c r="I61" s="515"/>
      <c r="J61" s="519"/>
      <c r="K61" s="504"/>
    </row>
    <row r="62" spans="2:11" x14ac:dyDescent="0.25">
      <c r="B62" s="538"/>
      <c r="C62" s="318">
        <v>485</v>
      </c>
      <c r="D62" s="318">
        <v>33</v>
      </c>
      <c r="E62" s="319">
        <v>193</v>
      </c>
      <c r="F62" s="515"/>
      <c r="G62" s="519"/>
      <c r="H62" s="504"/>
      <c r="I62" s="515"/>
      <c r="J62" s="519"/>
      <c r="K62" s="504"/>
    </row>
    <row r="63" spans="2:11" x14ac:dyDescent="0.25">
      <c r="B63" s="538"/>
      <c r="C63" s="320">
        <v>443</v>
      </c>
      <c r="D63" s="320">
        <v>81</v>
      </c>
      <c r="E63" s="321">
        <v>140</v>
      </c>
      <c r="F63" s="515"/>
      <c r="G63" s="519"/>
      <c r="H63" s="504"/>
      <c r="I63" s="515"/>
      <c r="J63" s="519"/>
      <c r="K63" s="504"/>
    </row>
    <row r="64" spans="2:11" x14ac:dyDescent="0.25">
      <c r="B64" s="538"/>
      <c r="C64" s="318">
        <v>178</v>
      </c>
      <c r="D64" s="318">
        <v>39</v>
      </c>
      <c r="E64" s="319">
        <v>59</v>
      </c>
      <c r="F64" s="515"/>
      <c r="G64" s="519"/>
      <c r="H64" s="504"/>
      <c r="I64" s="515"/>
      <c r="J64" s="519"/>
      <c r="K64" s="504"/>
    </row>
    <row r="65" spans="1:34" x14ac:dyDescent="0.25">
      <c r="B65" s="538"/>
      <c r="C65" s="320">
        <v>1300</v>
      </c>
      <c r="D65" s="320">
        <v>164</v>
      </c>
      <c r="E65" s="321">
        <v>254</v>
      </c>
      <c r="F65" s="515"/>
      <c r="G65" s="519"/>
      <c r="H65" s="504"/>
      <c r="I65" s="515"/>
      <c r="J65" s="519"/>
      <c r="K65" s="504"/>
    </row>
    <row r="66" spans="1:34" x14ac:dyDescent="0.25">
      <c r="B66" s="538"/>
      <c r="C66" s="318">
        <v>42</v>
      </c>
      <c r="D66" s="318">
        <v>11</v>
      </c>
      <c r="E66" s="319">
        <v>15</v>
      </c>
      <c r="F66" s="515"/>
      <c r="G66" s="519"/>
      <c r="H66" s="504"/>
      <c r="I66" s="515"/>
      <c r="J66" s="519"/>
      <c r="K66" s="504"/>
    </row>
    <row r="67" spans="1:34" x14ac:dyDescent="0.25">
      <c r="B67" s="538"/>
      <c r="C67" s="320">
        <v>523</v>
      </c>
      <c r="D67" s="320">
        <v>28</v>
      </c>
      <c r="E67" s="321">
        <v>134</v>
      </c>
      <c r="F67" s="515"/>
      <c r="G67" s="519"/>
      <c r="H67" s="504"/>
      <c r="I67" s="515"/>
      <c r="J67" s="519"/>
      <c r="K67" s="504"/>
    </row>
    <row r="68" spans="1:34" x14ac:dyDescent="0.25">
      <c r="B68" s="538"/>
      <c r="C68" s="318">
        <v>614</v>
      </c>
      <c r="D68" s="318">
        <v>48</v>
      </c>
      <c r="E68" s="319">
        <v>71</v>
      </c>
      <c r="F68" s="515"/>
      <c r="G68" s="519"/>
      <c r="H68" s="504"/>
      <c r="I68" s="515"/>
      <c r="J68" s="519"/>
      <c r="K68" s="504"/>
    </row>
    <row r="69" spans="1:34" x14ac:dyDescent="0.25">
      <c r="B69" s="538"/>
      <c r="C69" s="320">
        <v>412</v>
      </c>
      <c r="D69" s="320">
        <v>31</v>
      </c>
      <c r="E69" s="321">
        <v>81</v>
      </c>
      <c r="F69" s="515"/>
      <c r="G69" s="519"/>
      <c r="H69" s="504"/>
      <c r="I69" s="515"/>
      <c r="J69" s="519"/>
      <c r="K69" s="504"/>
    </row>
    <row r="70" spans="1:34" x14ac:dyDescent="0.25">
      <c r="B70" s="538"/>
      <c r="C70" s="318">
        <v>1000</v>
      </c>
      <c r="D70" s="318">
        <v>62</v>
      </c>
      <c r="E70" s="319">
        <v>174</v>
      </c>
      <c r="F70" s="515"/>
      <c r="G70" s="519"/>
      <c r="H70" s="504"/>
      <c r="I70" s="515"/>
      <c r="J70" s="519"/>
      <c r="K70" s="504"/>
    </row>
    <row r="71" spans="1:34" x14ac:dyDescent="0.25">
      <c r="B71" s="538"/>
      <c r="C71" s="320">
        <v>691</v>
      </c>
      <c r="D71" s="320">
        <v>70</v>
      </c>
      <c r="E71" s="321">
        <v>227</v>
      </c>
      <c r="F71" s="515"/>
      <c r="G71" s="519"/>
      <c r="H71" s="504"/>
      <c r="I71" s="515"/>
      <c r="J71" s="519"/>
      <c r="K71" s="504"/>
    </row>
    <row r="72" spans="1:34" x14ac:dyDescent="0.25">
      <c r="B72" s="538"/>
      <c r="C72" s="318">
        <v>338</v>
      </c>
      <c r="D72" s="318">
        <v>34</v>
      </c>
      <c r="E72" s="319">
        <v>38</v>
      </c>
      <c r="F72" s="515"/>
      <c r="G72" s="519"/>
      <c r="H72" s="504"/>
      <c r="I72" s="515"/>
      <c r="J72" s="519"/>
      <c r="K72" s="504"/>
    </row>
    <row r="73" spans="1:34" ht="15.75" thickBot="1" x14ac:dyDescent="0.3">
      <c r="B73" s="539"/>
      <c r="C73" s="327">
        <v>237</v>
      </c>
      <c r="D73" s="327">
        <v>69</v>
      </c>
      <c r="E73" s="328">
        <v>94</v>
      </c>
      <c r="F73" s="536"/>
      <c r="G73" s="534"/>
      <c r="H73" s="535"/>
      <c r="I73" s="536"/>
      <c r="J73" s="534"/>
      <c r="K73" s="535"/>
    </row>
    <row r="75" spans="1:34" x14ac:dyDescent="0.25">
      <c r="A75" s="13"/>
      <c r="B75" s="14"/>
      <c r="C75" s="13"/>
      <c r="D75" s="13"/>
      <c r="E75" s="13"/>
      <c r="F75" s="14"/>
      <c r="G75" s="14"/>
      <c r="H75" s="14"/>
      <c r="I75" s="14"/>
      <c r="J75" s="14"/>
      <c r="K75" s="14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7" spans="1:34" ht="15.75" thickBot="1" x14ac:dyDescent="0.3"/>
    <row r="78" spans="1:34" ht="27" thickBot="1" x14ac:dyDescent="0.3">
      <c r="B78" s="540" t="s">
        <v>393</v>
      </c>
      <c r="C78" s="541"/>
      <c r="D78" s="541"/>
      <c r="E78" s="541"/>
      <c r="F78" s="541"/>
      <c r="G78" s="541"/>
      <c r="H78" s="541"/>
      <c r="I78" s="541"/>
      <c r="J78" s="541"/>
      <c r="K78" s="542"/>
    </row>
    <row r="79" spans="1:34" ht="21.75" thickBot="1" x14ac:dyDescent="0.4">
      <c r="B79" s="397" t="s">
        <v>398</v>
      </c>
      <c r="C79" s="398"/>
      <c r="D79" s="398"/>
      <c r="E79" s="398"/>
      <c r="F79" s="398"/>
      <c r="G79" s="398"/>
      <c r="H79" s="398"/>
      <c r="I79" s="398"/>
      <c r="J79" s="398"/>
      <c r="K79" s="399"/>
    </row>
    <row r="80" spans="1:34" ht="15.75" thickBot="1" x14ac:dyDescent="0.3">
      <c r="B80" s="11"/>
      <c r="C80" s="7"/>
      <c r="D80" s="7"/>
      <c r="E80" s="7"/>
      <c r="F80" s="11"/>
      <c r="G80" s="11"/>
      <c r="H80" s="11"/>
      <c r="I80" s="11"/>
      <c r="J80" s="11"/>
      <c r="K80" s="11"/>
    </row>
    <row r="81" spans="2:17" ht="19.5" thickBot="1" x14ac:dyDescent="0.3">
      <c r="B81" s="177"/>
      <c r="C81" s="178"/>
      <c r="D81" s="178"/>
      <c r="E81" s="178"/>
      <c r="F81" s="421" t="s">
        <v>389</v>
      </c>
      <c r="G81" s="421"/>
      <c r="H81" s="421"/>
      <c r="I81" s="421" t="s">
        <v>390</v>
      </c>
      <c r="J81" s="421"/>
      <c r="K81" s="422"/>
    </row>
    <row r="82" spans="2:17" ht="18.75" x14ac:dyDescent="0.25">
      <c r="B82" s="180" t="s">
        <v>262</v>
      </c>
      <c r="C82" s="179" t="s">
        <v>473</v>
      </c>
      <c r="D82" s="179" t="s">
        <v>267</v>
      </c>
      <c r="E82" s="179" t="s">
        <v>268</v>
      </c>
      <c r="F82" s="179" t="s">
        <v>473</v>
      </c>
      <c r="G82" s="179" t="s">
        <v>267</v>
      </c>
      <c r="H82" s="179" t="s">
        <v>268</v>
      </c>
      <c r="I82" s="179" t="s">
        <v>473</v>
      </c>
      <c r="J82" s="179" t="s">
        <v>267</v>
      </c>
      <c r="K82" s="181" t="s">
        <v>268</v>
      </c>
      <c r="N82" s="208" t="s">
        <v>262</v>
      </c>
      <c r="O82" s="209" t="s">
        <v>473</v>
      </c>
      <c r="P82" s="209" t="s">
        <v>267</v>
      </c>
      <c r="Q82" s="210" t="s">
        <v>268</v>
      </c>
    </row>
    <row r="83" spans="2:17" x14ac:dyDescent="0.25">
      <c r="B83" s="252" t="s">
        <v>315</v>
      </c>
      <c r="C83" s="278">
        <v>807</v>
      </c>
      <c r="D83" s="278">
        <v>83</v>
      </c>
      <c r="E83" s="279">
        <v>167</v>
      </c>
      <c r="F83" s="280">
        <f>+SUM(C83)</f>
        <v>807</v>
      </c>
      <c r="G83" s="281">
        <f>+SUM(D83)</f>
        <v>83</v>
      </c>
      <c r="H83" s="281">
        <f>+SUM(E83)</f>
        <v>167</v>
      </c>
      <c r="I83" s="280">
        <f>+AVERAGE(C83)</f>
        <v>807</v>
      </c>
      <c r="J83" s="281">
        <f>+AVERAGE(D83)</f>
        <v>83</v>
      </c>
      <c r="K83" s="282">
        <f>+AVERAGE(E83)</f>
        <v>167</v>
      </c>
      <c r="N83" s="78" t="s">
        <v>315</v>
      </c>
      <c r="O83" s="98">
        <f>+AVERAGE(I83)</f>
        <v>807</v>
      </c>
      <c r="P83" s="109">
        <f>+AVERAGE(J83)</f>
        <v>83</v>
      </c>
      <c r="Q83" s="99">
        <f>+AVERAGE(K83)</f>
        <v>167</v>
      </c>
    </row>
    <row r="84" spans="2:17" x14ac:dyDescent="0.25">
      <c r="B84" s="512" t="s">
        <v>313</v>
      </c>
      <c r="C84" s="312">
        <v>402</v>
      </c>
      <c r="D84" s="312">
        <v>65</v>
      </c>
      <c r="E84" s="313">
        <v>89</v>
      </c>
      <c r="F84" s="515">
        <f>+SUM(C84:C89)</f>
        <v>2829</v>
      </c>
      <c r="G84" s="517">
        <f>+SUM(D84:D89)</f>
        <v>445</v>
      </c>
      <c r="H84" s="517">
        <f>+SUM(E84:E89)</f>
        <v>864</v>
      </c>
      <c r="I84" s="515">
        <f>+AVERAGE(C84:C89)</f>
        <v>471.5</v>
      </c>
      <c r="J84" s="519">
        <f>+AVERAGE(D84:D89)</f>
        <v>74.166666666666671</v>
      </c>
      <c r="K84" s="504">
        <f>+AVERAGE(E84:E89)</f>
        <v>144</v>
      </c>
      <c r="N84" s="26" t="s">
        <v>313</v>
      </c>
      <c r="O84" s="100">
        <f>+AVERAGE(I84:I89)</f>
        <v>471.5</v>
      </c>
      <c r="P84" s="100">
        <f>+AVERAGE(J84:J89)</f>
        <v>74.166666666666671</v>
      </c>
      <c r="Q84" s="101">
        <f>+AVERAGE(K84:K89)</f>
        <v>144</v>
      </c>
    </row>
    <row r="85" spans="2:17" x14ac:dyDescent="0.25">
      <c r="B85" s="513"/>
      <c r="C85" s="314">
        <v>347</v>
      </c>
      <c r="D85" s="314">
        <v>51</v>
      </c>
      <c r="E85" s="315">
        <v>50</v>
      </c>
      <c r="F85" s="516"/>
      <c r="G85" s="518"/>
      <c r="H85" s="518"/>
      <c r="I85" s="516"/>
      <c r="J85" s="520"/>
      <c r="K85" s="505"/>
      <c r="N85" s="78" t="s">
        <v>283</v>
      </c>
      <c r="O85" s="98">
        <f>+AVERAGE(I90:I108)</f>
        <v>1219.8421052631579</v>
      </c>
      <c r="P85" s="98">
        <f>+AVERAGE(J90:J108)</f>
        <v>66.78947368421052</v>
      </c>
      <c r="Q85" s="99">
        <f>+AVERAGE(K90:K108)</f>
        <v>125.73684210526316</v>
      </c>
    </row>
    <row r="86" spans="2:17" x14ac:dyDescent="0.25">
      <c r="B86" s="513"/>
      <c r="C86" s="312">
        <v>579</v>
      </c>
      <c r="D86" s="312">
        <v>113</v>
      </c>
      <c r="E86" s="313">
        <v>188</v>
      </c>
      <c r="F86" s="516"/>
      <c r="G86" s="518"/>
      <c r="H86" s="518"/>
      <c r="I86" s="516"/>
      <c r="J86" s="520"/>
      <c r="K86" s="505"/>
      <c r="N86" s="26" t="s">
        <v>273</v>
      </c>
      <c r="O86" s="100">
        <f>+AVERAGE(I109:I112)</f>
        <v>251</v>
      </c>
      <c r="P86" s="100">
        <f>+AVERAGE(J109:J112)</f>
        <v>32.25</v>
      </c>
      <c r="Q86" s="101">
        <f>+AVERAGE(K109:K112)</f>
        <v>42.75</v>
      </c>
    </row>
    <row r="87" spans="2:17" x14ac:dyDescent="0.25">
      <c r="B87" s="513"/>
      <c r="C87" s="316">
        <v>632</v>
      </c>
      <c r="D87" s="316">
        <v>96</v>
      </c>
      <c r="E87" s="317">
        <v>221</v>
      </c>
      <c r="F87" s="516"/>
      <c r="G87" s="518"/>
      <c r="H87" s="518"/>
      <c r="I87" s="516"/>
      <c r="J87" s="520"/>
      <c r="K87" s="505"/>
      <c r="N87" s="78" t="s">
        <v>292</v>
      </c>
      <c r="O87" s="229">
        <f>+AVERAGE(I113:I154)</f>
        <v>675.07142857142856</v>
      </c>
      <c r="P87" s="98">
        <f>+AVERAGE(J113:J154)</f>
        <v>51.19047619047619</v>
      </c>
      <c r="Q87" s="99">
        <f>+AVERAGE(K113:K154)</f>
        <v>176.52380952380952</v>
      </c>
    </row>
    <row r="88" spans="2:17" ht="15.75" thickBot="1" x14ac:dyDescent="0.3">
      <c r="B88" s="513"/>
      <c r="C88" s="312">
        <v>485</v>
      </c>
      <c r="D88" s="312">
        <v>54</v>
      </c>
      <c r="E88" s="313">
        <v>91</v>
      </c>
      <c r="F88" s="516"/>
      <c r="G88" s="518"/>
      <c r="H88" s="518"/>
      <c r="I88" s="516"/>
      <c r="J88" s="520"/>
      <c r="K88" s="505"/>
      <c r="N88" s="27"/>
      <c r="O88" s="102"/>
      <c r="P88" s="102"/>
      <c r="Q88" s="103"/>
    </row>
    <row r="89" spans="2:17" x14ac:dyDescent="0.25">
      <c r="B89" s="514"/>
      <c r="C89" s="314">
        <v>384</v>
      </c>
      <c r="D89" s="314">
        <v>66</v>
      </c>
      <c r="E89" s="315">
        <v>225</v>
      </c>
      <c r="F89" s="516"/>
      <c r="G89" s="518"/>
      <c r="H89" s="518"/>
      <c r="I89" s="516"/>
      <c r="J89" s="520"/>
      <c r="K89" s="505"/>
    </row>
    <row r="90" spans="2:17" x14ac:dyDescent="0.25">
      <c r="B90" s="527" t="s">
        <v>283</v>
      </c>
      <c r="C90" s="283">
        <v>170</v>
      </c>
      <c r="D90" s="283">
        <v>8</v>
      </c>
      <c r="E90" s="284">
        <v>95</v>
      </c>
      <c r="F90" s="506">
        <f>+SUM(C90:C108)</f>
        <v>23177</v>
      </c>
      <c r="G90" s="531">
        <f>+SUM(D90:D108)</f>
        <v>1269</v>
      </c>
      <c r="H90" s="531">
        <f>+SUM(E90:E108)</f>
        <v>2389</v>
      </c>
      <c r="I90" s="506">
        <f>+AVERAGE(C90:C108)</f>
        <v>1219.8421052631579</v>
      </c>
      <c r="J90" s="508">
        <f>+AVERAGE(D90:D108)</f>
        <v>66.78947368421052</v>
      </c>
      <c r="K90" s="510">
        <f>+AVERAGE(E90:E108)</f>
        <v>125.73684210526316</v>
      </c>
    </row>
    <row r="91" spans="2:17" x14ac:dyDescent="0.25">
      <c r="B91" s="528"/>
      <c r="C91" s="285">
        <v>1000</v>
      </c>
      <c r="D91" s="285">
        <v>77</v>
      </c>
      <c r="E91" s="286">
        <v>204</v>
      </c>
      <c r="F91" s="507"/>
      <c r="G91" s="532"/>
      <c r="H91" s="532"/>
      <c r="I91" s="507"/>
      <c r="J91" s="509"/>
      <c r="K91" s="511"/>
    </row>
    <row r="92" spans="2:17" x14ac:dyDescent="0.25">
      <c r="B92" s="528"/>
      <c r="C92" s="287">
        <v>2800</v>
      </c>
      <c r="D92" s="287">
        <v>116</v>
      </c>
      <c r="E92" s="288">
        <v>211</v>
      </c>
      <c r="F92" s="507"/>
      <c r="G92" s="532"/>
      <c r="H92" s="532"/>
      <c r="I92" s="507"/>
      <c r="J92" s="509"/>
      <c r="K92" s="511"/>
    </row>
    <row r="93" spans="2:17" x14ac:dyDescent="0.25">
      <c r="B93" s="528"/>
      <c r="C93" s="285">
        <v>91</v>
      </c>
      <c r="D93" s="285">
        <v>34</v>
      </c>
      <c r="E93" s="286">
        <v>8</v>
      </c>
      <c r="F93" s="507"/>
      <c r="G93" s="532"/>
      <c r="H93" s="532"/>
      <c r="I93" s="507"/>
      <c r="J93" s="509"/>
      <c r="K93" s="511"/>
    </row>
    <row r="94" spans="2:17" x14ac:dyDescent="0.25">
      <c r="B94" s="528"/>
      <c r="C94" s="287">
        <v>691</v>
      </c>
      <c r="D94" s="287">
        <v>52</v>
      </c>
      <c r="E94" s="288">
        <v>41</v>
      </c>
      <c r="F94" s="507"/>
      <c r="G94" s="532"/>
      <c r="H94" s="532"/>
      <c r="I94" s="507"/>
      <c r="J94" s="509"/>
      <c r="K94" s="511"/>
    </row>
    <row r="95" spans="2:17" x14ac:dyDescent="0.25">
      <c r="B95" s="528"/>
      <c r="C95" s="285">
        <v>592</v>
      </c>
      <c r="D95" s="285">
        <v>36</v>
      </c>
      <c r="E95" s="286">
        <v>106</v>
      </c>
      <c r="F95" s="507"/>
      <c r="G95" s="532"/>
      <c r="H95" s="532"/>
      <c r="I95" s="507"/>
      <c r="J95" s="509"/>
      <c r="K95" s="511"/>
    </row>
    <row r="96" spans="2:17" x14ac:dyDescent="0.25">
      <c r="B96" s="528"/>
      <c r="C96" s="287">
        <v>885</v>
      </c>
      <c r="D96" s="287">
        <v>28</v>
      </c>
      <c r="E96" s="288">
        <v>98</v>
      </c>
      <c r="F96" s="507"/>
      <c r="G96" s="532"/>
      <c r="H96" s="532"/>
      <c r="I96" s="507"/>
      <c r="J96" s="509"/>
      <c r="K96" s="511"/>
    </row>
    <row r="97" spans="2:11" x14ac:dyDescent="0.25">
      <c r="B97" s="528"/>
      <c r="C97" s="285">
        <v>422</v>
      </c>
      <c r="D97" s="285">
        <v>33</v>
      </c>
      <c r="E97" s="286">
        <v>50</v>
      </c>
      <c r="F97" s="507"/>
      <c r="G97" s="532"/>
      <c r="H97" s="532"/>
      <c r="I97" s="507"/>
      <c r="J97" s="509"/>
      <c r="K97" s="511"/>
    </row>
    <row r="98" spans="2:11" x14ac:dyDescent="0.25">
      <c r="B98" s="528"/>
      <c r="C98" s="289">
        <v>242</v>
      </c>
      <c r="D98" s="289">
        <v>31</v>
      </c>
      <c r="E98" s="290">
        <v>72</v>
      </c>
      <c r="F98" s="507"/>
      <c r="G98" s="532"/>
      <c r="H98" s="532"/>
      <c r="I98" s="507"/>
      <c r="J98" s="509"/>
      <c r="K98" s="511"/>
    </row>
    <row r="99" spans="2:11" x14ac:dyDescent="0.25">
      <c r="B99" s="528"/>
      <c r="C99" s="285">
        <v>144</v>
      </c>
      <c r="D99" s="285">
        <v>11</v>
      </c>
      <c r="E99" s="286">
        <v>34</v>
      </c>
      <c r="F99" s="507"/>
      <c r="G99" s="532"/>
      <c r="H99" s="532"/>
      <c r="I99" s="507"/>
      <c r="J99" s="509"/>
      <c r="K99" s="511"/>
    </row>
    <row r="100" spans="2:11" x14ac:dyDescent="0.25">
      <c r="B100" s="528"/>
      <c r="C100" s="287">
        <v>229</v>
      </c>
      <c r="D100" s="287">
        <v>35</v>
      </c>
      <c r="E100" s="288">
        <v>62</v>
      </c>
      <c r="F100" s="507"/>
      <c r="G100" s="532"/>
      <c r="H100" s="532"/>
      <c r="I100" s="507"/>
      <c r="J100" s="509"/>
      <c r="K100" s="511"/>
    </row>
    <row r="101" spans="2:11" x14ac:dyDescent="0.25">
      <c r="B101" s="528"/>
      <c r="C101" s="285">
        <v>1800</v>
      </c>
      <c r="D101" s="285">
        <v>54</v>
      </c>
      <c r="E101" s="286">
        <v>56</v>
      </c>
      <c r="F101" s="507"/>
      <c r="G101" s="532"/>
      <c r="H101" s="532"/>
      <c r="I101" s="507"/>
      <c r="J101" s="509"/>
      <c r="K101" s="511"/>
    </row>
    <row r="102" spans="2:11" x14ac:dyDescent="0.25">
      <c r="B102" s="528"/>
      <c r="C102" s="287">
        <v>785</v>
      </c>
      <c r="D102" s="287">
        <v>155</v>
      </c>
      <c r="E102" s="288">
        <v>145</v>
      </c>
      <c r="F102" s="507"/>
      <c r="G102" s="532"/>
      <c r="H102" s="532"/>
      <c r="I102" s="507"/>
      <c r="J102" s="509"/>
      <c r="K102" s="511"/>
    </row>
    <row r="103" spans="2:11" x14ac:dyDescent="0.25">
      <c r="B103" s="528"/>
      <c r="C103" s="285">
        <v>313</v>
      </c>
      <c r="D103" s="285">
        <v>14</v>
      </c>
      <c r="E103" s="286">
        <v>40</v>
      </c>
      <c r="F103" s="507"/>
      <c r="G103" s="532"/>
      <c r="H103" s="532"/>
      <c r="I103" s="507"/>
      <c r="J103" s="509"/>
      <c r="K103" s="511"/>
    </row>
    <row r="104" spans="2:11" x14ac:dyDescent="0.25">
      <c r="B104" s="528"/>
      <c r="C104" s="287">
        <v>1800</v>
      </c>
      <c r="D104" s="287">
        <v>34</v>
      </c>
      <c r="E104" s="288">
        <v>78</v>
      </c>
      <c r="F104" s="507"/>
      <c r="G104" s="532"/>
      <c r="H104" s="532"/>
      <c r="I104" s="507"/>
      <c r="J104" s="509"/>
      <c r="K104" s="511"/>
    </row>
    <row r="105" spans="2:11" x14ac:dyDescent="0.25">
      <c r="B105" s="528"/>
      <c r="C105" s="285">
        <v>516</v>
      </c>
      <c r="D105" s="285">
        <v>139</v>
      </c>
      <c r="E105" s="286">
        <v>122</v>
      </c>
      <c r="F105" s="507"/>
      <c r="G105" s="532"/>
      <c r="H105" s="532"/>
      <c r="I105" s="507"/>
      <c r="J105" s="509"/>
      <c r="K105" s="511"/>
    </row>
    <row r="106" spans="2:11" x14ac:dyDescent="0.25">
      <c r="B106" s="528"/>
      <c r="C106" s="287">
        <v>1400</v>
      </c>
      <c r="D106" s="287">
        <v>87</v>
      </c>
      <c r="E106" s="288">
        <v>186</v>
      </c>
      <c r="F106" s="507"/>
      <c r="G106" s="532"/>
      <c r="H106" s="532"/>
      <c r="I106" s="507"/>
      <c r="J106" s="509"/>
      <c r="K106" s="511"/>
    </row>
    <row r="107" spans="2:11" x14ac:dyDescent="0.25">
      <c r="B107" s="528"/>
      <c r="C107" s="285">
        <v>180</v>
      </c>
      <c r="D107" s="285">
        <v>27</v>
      </c>
      <c r="E107" s="286">
        <v>13</v>
      </c>
      <c r="F107" s="507"/>
      <c r="G107" s="532"/>
      <c r="H107" s="532"/>
      <c r="I107" s="507"/>
      <c r="J107" s="509"/>
      <c r="K107" s="511"/>
    </row>
    <row r="108" spans="2:11" x14ac:dyDescent="0.25">
      <c r="B108" s="529"/>
      <c r="C108" s="287">
        <v>9117</v>
      </c>
      <c r="D108" s="287">
        <v>298</v>
      </c>
      <c r="E108" s="288">
        <v>768</v>
      </c>
      <c r="F108" s="507"/>
      <c r="G108" s="532"/>
      <c r="H108" s="532"/>
      <c r="I108" s="507"/>
      <c r="J108" s="509"/>
      <c r="K108" s="511"/>
    </row>
    <row r="109" spans="2:11" x14ac:dyDescent="0.25">
      <c r="B109" s="524" t="s">
        <v>273</v>
      </c>
      <c r="C109" s="314">
        <v>289</v>
      </c>
      <c r="D109" s="314">
        <v>43</v>
      </c>
      <c r="E109" s="315">
        <v>62</v>
      </c>
      <c r="F109" s="515">
        <f>+SUM(C109:C112)</f>
        <v>1004</v>
      </c>
      <c r="G109" s="517">
        <f>+SUM(D109:D112)</f>
        <v>129</v>
      </c>
      <c r="H109" s="517">
        <f>+SUM(E109:E112)</f>
        <v>171</v>
      </c>
      <c r="I109" s="515">
        <f>+AVERAGE(C109:C112)</f>
        <v>251</v>
      </c>
      <c r="J109" s="519">
        <f>+AVERAGE(D109:D112)</f>
        <v>32.25</v>
      </c>
      <c r="K109" s="504">
        <f>+AVERAGE(E109:E112)</f>
        <v>42.75</v>
      </c>
    </row>
    <row r="110" spans="2:11" x14ac:dyDescent="0.25">
      <c r="B110" s="525"/>
      <c r="C110" s="312">
        <v>116</v>
      </c>
      <c r="D110" s="312">
        <v>13</v>
      </c>
      <c r="E110" s="313">
        <v>12</v>
      </c>
      <c r="F110" s="516"/>
      <c r="G110" s="518"/>
      <c r="H110" s="518"/>
      <c r="I110" s="516"/>
      <c r="J110" s="520"/>
      <c r="K110" s="505"/>
    </row>
    <row r="111" spans="2:11" x14ac:dyDescent="0.25">
      <c r="B111" s="525"/>
      <c r="C111" s="316">
        <v>501</v>
      </c>
      <c r="D111" s="316">
        <v>55</v>
      </c>
      <c r="E111" s="317">
        <v>77</v>
      </c>
      <c r="F111" s="516"/>
      <c r="G111" s="518"/>
      <c r="H111" s="518"/>
      <c r="I111" s="516"/>
      <c r="J111" s="520"/>
      <c r="K111" s="505"/>
    </row>
    <row r="112" spans="2:11" x14ac:dyDescent="0.25">
      <c r="B112" s="526"/>
      <c r="C112" s="312">
        <v>98</v>
      </c>
      <c r="D112" s="312">
        <v>18</v>
      </c>
      <c r="E112" s="313">
        <v>20</v>
      </c>
      <c r="F112" s="516"/>
      <c r="G112" s="518"/>
      <c r="H112" s="518"/>
      <c r="I112" s="516"/>
      <c r="J112" s="520"/>
      <c r="K112" s="505"/>
    </row>
    <row r="113" spans="2:11" x14ac:dyDescent="0.25">
      <c r="B113" s="521" t="s">
        <v>292</v>
      </c>
      <c r="C113" s="289">
        <v>420</v>
      </c>
      <c r="D113" s="289">
        <v>45</v>
      </c>
      <c r="E113" s="290">
        <v>173</v>
      </c>
      <c r="F113" s="506">
        <f>+SUM(C113:C154)</f>
        <v>28353</v>
      </c>
      <c r="G113" s="531">
        <f>+SUM(D113:D154)</f>
        <v>2150</v>
      </c>
      <c r="H113" s="531">
        <f>+SUM(E113:E154)</f>
        <v>7414</v>
      </c>
      <c r="I113" s="506">
        <f>+AVERAGE(C113:C154)</f>
        <v>675.07142857142856</v>
      </c>
      <c r="J113" s="508">
        <f>+AVERAGE(D113:D154)</f>
        <v>51.19047619047619</v>
      </c>
      <c r="K113" s="510">
        <f>+AVERAGE(E113:E154)</f>
        <v>176.52380952380952</v>
      </c>
    </row>
    <row r="114" spans="2:11" x14ac:dyDescent="0.25">
      <c r="B114" s="522"/>
      <c r="C114" s="287">
        <v>349</v>
      </c>
      <c r="D114" s="287">
        <v>49</v>
      </c>
      <c r="E114" s="288">
        <v>40</v>
      </c>
      <c r="F114" s="507"/>
      <c r="G114" s="532"/>
      <c r="H114" s="532"/>
      <c r="I114" s="507"/>
      <c r="J114" s="509"/>
      <c r="K114" s="511"/>
    </row>
    <row r="115" spans="2:11" x14ac:dyDescent="0.25">
      <c r="B115" s="522"/>
      <c r="C115" s="285">
        <v>856</v>
      </c>
      <c r="D115" s="285">
        <v>54</v>
      </c>
      <c r="E115" s="286">
        <v>174</v>
      </c>
      <c r="F115" s="507"/>
      <c r="G115" s="532"/>
      <c r="H115" s="532"/>
      <c r="I115" s="507"/>
      <c r="J115" s="509"/>
      <c r="K115" s="511"/>
    </row>
    <row r="116" spans="2:11" x14ac:dyDescent="0.25">
      <c r="B116" s="522"/>
      <c r="C116" s="287">
        <v>369</v>
      </c>
      <c r="D116" s="287">
        <v>99</v>
      </c>
      <c r="E116" s="288">
        <v>124</v>
      </c>
      <c r="F116" s="507"/>
      <c r="G116" s="532"/>
      <c r="H116" s="532"/>
      <c r="I116" s="507"/>
      <c r="J116" s="509"/>
      <c r="K116" s="511"/>
    </row>
    <row r="117" spans="2:11" x14ac:dyDescent="0.25">
      <c r="B117" s="522"/>
      <c r="C117" s="285">
        <v>445</v>
      </c>
      <c r="D117" s="285">
        <v>55</v>
      </c>
      <c r="E117" s="286">
        <v>63</v>
      </c>
      <c r="F117" s="507"/>
      <c r="G117" s="532"/>
      <c r="H117" s="532"/>
      <c r="I117" s="507"/>
      <c r="J117" s="509"/>
      <c r="K117" s="511"/>
    </row>
    <row r="118" spans="2:11" x14ac:dyDescent="0.25">
      <c r="B118" s="522"/>
      <c r="C118" s="287">
        <v>928</v>
      </c>
      <c r="D118" s="287">
        <v>55</v>
      </c>
      <c r="E118" s="288">
        <v>88</v>
      </c>
      <c r="F118" s="507"/>
      <c r="G118" s="532"/>
      <c r="H118" s="532"/>
      <c r="I118" s="507"/>
      <c r="J118" s="509"/>
      <c r="K118" s="511"/>
    </row>
    <row r="119" spans="2:11" x14ac:dyDescent="0.25">
      <c r="B119" s="522"/>
      <c r="C119" s="285">
        <v>981</v>
      </c>
      <c r="D119" s="285">
        <v>67</v>
      </c>
      <c r="E119" s="286">
        <v>130</v>
      </c>
      <c r="F119" s="507"/>
      <c r="G119" s="532"/>
      <c r="H119" s="532"/>
      <c r="I119" s="507"/>
      <c r="J119" s="509"/>
      <c r="K119" s="511"/>
    </row>
    <row r="120" spans="2:11" x14ac:dyDescent="0.25">
      <c r="B120" s="522"/>
      <c r="C120" s="287">
        <v>227</v>
      </c>
      <c r="D120" s="287">
        <v>36</v>
      </c>
      <c r="E120" s="288">
        <v>82</v>
      </c>
      <c r="F120" s="507"/>
      <c r="G120" s="532"/>
      <c r="H120" s="532"/>
      <c r="I120" s="507"/>
      <c r="J120" s="509"/>
      <c r="K120" s="511"/>
    </row>
    <row r="121" spans="2:11" x14ac:dyDescent="0.25">
      <c r="B121" s="522"/>
      <c r="C121" s="285">
        <v>224</v>
      </c>
      <c r="D121" s="285">
        <v>21</v>
      </c>
      <c r="E121" s="286">
        <v>107</v>
      </c>
      <c r="F121" s="507"/>
      <c r="G121" s="532"/>
      <c r="H121" s="532"/>
      <c r="I121" s="507"/>
      <c r="J121" s="509"/>
      <c r="K121" s="511"/>
    </row>
    <row r="122" spans="2:11" x14ac:dyDescent="0.25">
      <c r="B122" s="522"/>
      <c r="C122" s="287">
        <v>428</v>
      </c>
      <c r="D122" s="287">
        <v>35</v>
      </c>
      <c r="E122" s="288">
        <v>60</v>
      </c>
      <c r="F122" s="507"/>
      <c r="G122" s="532"/>
      <c r="H122" s="532"/>
      <c r="I122" s="507"/>
      <c r="J122" s="509"/>
      <c r="K122" s="511"/>
    </row>
    <row r="123" spans="2:11" x14ac:dyDescent="0.25">
      <c r="B123" s="522"/>
      <c r="C123" s="289">
        <v>34</v>
      </c>
      <c r="D123" s="289">
        <v>5</v>
      </c>
      <c r="E123" s="290">
        <v>12</v>
      </c>
      <c r="F123" s="507"/>
      <c r="G123" s="532"/>
      <c r="H123" s="532"/>
      <c r="I123" s="507"/>
      <c r="J123" s="509"/>
      <c r="K123" s="511"/>
    </row>
    <row r="124" spans="2:11" x14ac:dyDescent="0.25">
      <c r="B124" s="522"/>
      <c r="C124" s="287">
        <v>41</v>
      </c>
      <c r="D124" s="287">
        <v>15</v>
      </c>
      <c r="E124" s="288">
        <v>7</v>
      </c>
      <c r="F124" s="507"/>
      <c r="G124" s="532"/>
      <c r="H124" s="532"/>
      <c r="I124" s="507"/>
      <c r="J124" s="509"/>
      <c r="K124" s="511"/>
    </row>
    <row r="125" spans="2:11" x14ac:dyDescent="0.25">
      <c r="B125" s="522"/>
      <c r="C125" s="285">
        <v>3200</v>
      </c>
      <c r="D125" s="285">
        <v>92</v>
      </c>
      <c r="E125" s="286">
        <v>1917</v>
      </c>
      <c r="F125" s="507"/>
      <c r="G125" s="532"/>
      <c r="H125" s="532"/>
      <c r="I125" s="507"/>
      <c r="J125" s="509"/>
      <c r="K125" s="511"/>
    </row>
    <row r="126" spans="2:11" x14ac:dyDescent="0.25">
      <c r="B126" s="522"/>
      <c r="C126" s="287">
        <v>680</v>
      </c>
      <c r="D126" s="287">
        <v>39</v>
      </c>
      <c r="E126" s="288">
        <v>73</v>
      </c>
      <c r="F126" s="507"/>
      <c r="G126" s="532"/>
      <c r="H126" s="532"/>
      <c r="I126" s="507"/>
      <c r="J126" s="509"/>
      <c r="K126" s="511"/>
    </row>
    <row r="127" spans="2:11" x14ac:dyDescent="0.25">
      <c r="B127" s="522"/>
      <c r="C127" s="285">
        <v>139</v>
      </c>
      <c r="D127" s="285">
        <v>22</v>
      </c>
      <c r="E127" s="286">
        <v>50</v>
      </c>
      <c r="F127" s="507"/>
      <c r="G127" s="532"/>
      <c r="H127" s="532"/>
      <c r="I127" s="507"/>
      <c r="J127" s="509"/>
      <c r="K127" s="511"/>
    </row>
    <row r="128" spans="2:11" x14ac:dyDescent="0.25">
      <c r="B128" s="522"/>
      <c r="C128" s="287">
        <v>875</v>
      </c>
      <c r="D128" s="287">
        <v>28</v>
      </c>
      <c r="E128" s="288">
        <v>127</v>
      </c>
      <c r="F128" s="507"/>
      <c r="G128" s="532"/>
      <c r="H128" s="532"/>
      <c r="I128" s="507"/>
      <c r="J128" s="509"/>
      <c r="K128" s="511"/>
    </row>
    <row r="129" spans="2:11" x14ac:dyDescent="0.25">
      <c r="B129" s="522"/>
      <c r="C129" s="285">
        <v>461</v>
      </c>
      <c r="D129" s="285">
        <v>32</v>
      </c>
      <c r="E129" s="286">
        <v>123</v>
      </c>
      <c r="F129" s="507"/>
      <c r="G129" s="532"/>
      <c r="H129" s="532"/>
      <c r="I129" s="507"/>
      <c r="J129" s="509"/>
      <c r="K129" s="511"/>
    </row>
    <row r="130" spans="2:11" x14ac:dyDescent="0.25">
      <c r="B130" s="522"/>
      <c r="C130" s="287">
        <v>318</v>
      </c>
      <c r="D130" s="287">
        <v>21</v>
      </c>
      <c r="E130" s="288">
        <v>75</v>
      </c>
      <c r="F130" s="507"/>
      <c r="G130" s="532"/>
      <c r="H130" s="532"/>
      <c r="I130" s="507"/>
      <c r="J130" s="509"/>
      <c r="K130" s="511"/>
    </row>
    <row r="131" spans="2:11" x14ac:dyDescent="0.25">
      <c r="B131" s="522"/>
      <c r="C131" s="285">
        <v>624</v>
      </c>
      <c r="D131" s="285">
        <v>36</v>
      </c>
      <c r="E131" s="286">
        <v>67</v>
      </c>
      <c r="F131" s="507"/>
      <c r="G131" s="532"/>
      <c r="H131" s="532"/>
      <c r="I131" s="507"/>
      <c r="J131" s="509"/>
      <c r="K131" s="511"/>
    </row>
    <row r="132" spans="2:11" x14ac:dyDescent="0.25">
      <c r="B132" s="522"/>
      <c r="C132" s="287">
        <v>234</v>
      </c>
      <c r="D132" s="287">
        <v>114</v>
      </c>
      <c r="E132" s="288">
        <v>28</v>
      </c>
      <c r="F132" s="507"/>
      <c r="G132" s="532"/>
      <c r="H132" s="532"/>
      <c r="I132" s="507"/>
      <c r="J132" s="509"/>
      <c r="K132" s="511"/>
    </row>
    <row r="133" spans="2:11" x14ac:dyDescent="0.25">
      <c r="B133" s="522"/>
      <c r="C133" s="289">
        <v>203</v>
      </c>
      <c r="D133" s="289">
        <v>25</v>
      </c>
      <c r="E133" s="290">
        <v>23</v>
      </c>
      <c r="F133" s="507"/>
      <c r="G133" s="532"/>
      <c r="H133" s="532"/>
      <c r="I133" s="507"/>
      <c r="J133" s="509"/>
      <c r="K133" s="511"/>
    </row>
    <row r="134" spans="2:11" x14ac:dyDescent="0.25">
      <c r="B134" s="522"/>
      <c r="C134" s="289">
        <v>1900</v>
      </c>
      <c r="D134" s="289">
        <v>154</v>
      </c>
      <c r="E134" s="290">
        <v>324</v>
      </c>
      <c r="F134" s="507"/>
      <c r="G134" s="532"/>
      <c r="H134" s="532"/>
      <c r="I134" s="507"/>
      <c r="J134" s="509"/>
      <c r="K134" s="511"/>
    </row>
    <row r="135" spans="2:11" x14ac:dyDescent="0.25">
      <c r="B135" s="522"/>
      <c r="C135" s="289">
        <v>1800</v>
      </c>
      <c r="D135" s="289">
        <v>46</v>
      </c>
      <c r="E135" s="290">
        <v>164</v>
      </c>
      <c r="F135" s="507"/>
      <c r="G135" s="532"/>
      <c r="H135" s="532"/>
      <c r="I135" s="507"/>
      <c r="J135" s="509"/>
      <c r="K135" s="511"/>
    </row>
    <row r="136" spans="2:11" x14ac:dyDescent="0.25">
      <c r="B136" s="522"/>
      <c r="C136" s="289">
        <v>214</v>
      </c>
      <c r="D136" s="289">
        <v>23</v>
      </c>
      <c r="E136" s="290">
        <v>130</v>
      </c>
      <c r="F136" s="507"/>
      <c r="G136" s="532"/>
      <c r="H136" s="532"/>
      <c r="I136" s="507"/>
      <c r="J136" s="509"/>
      <c r="K136" s="511"/>
    </row>
    <row r="137" spans="2:11" x14ac:dyDescent="0.25">
      <c r="B137" s="522"/>
      <c r="C137" s="289">
        <v>549</v>
      </c>
      <c r="D137" s="289">
        <v>60</v>
      </c>
      <c r="E137" s="290">
        <v>70</v>
      </c>
      <c r="F137" s="507"/>
      <c r="G137" s="532"/>
      <c r="H137" s="532"/>
      <c r="I137" s="507"/>
      <c r="J137" s="509"/>
      <c r="K137" s="511"/>
    </row>
    <row r="138" spans="2:11" x14ac:dyDescent="0.25">
      <c r="B138" s="522"/>
      <c r="C138" s="289">
        <v>4500</v>
      </c>
      <c r="D138" s="289">
        <v>126</v>
      </c>
      <c r="E138" s="290">
        <v>1837</v>
      </c>
      <c r="F138" s="507"/>
      <c r="G138" s="532"/>
      <c r="H138" s="532"/>
      <c r="I138" s="507"/>
      <c r="J138" s="509"/>
      <c r="K138" s="511"/>
    </row>
    <row r="139" spans="2:11" x14ac:dyDescent="0.25">
      <c r="B139" s="522"/>
      <c r="C139" s="285">
        <v>355</v>
      </c>
      <c r="D139" s="285">
        <v>51</v>
      </c>
      <c r="E139" s="286">
        <v>41</v>
      </c>
      <c r="F139" s="507"/>
      <c r="G139" s="532"/>
      <c r="H139" s="532"/>
      <c r="I139" s="507"/>
      <c r="J139" s="509"/>
      <c r="K139" s="511"/>
    </row>
    <row r="140" spans="2:11" x14ac:dyDescent="0.25">
      <c r="B140" s="522"/>
      <c r="C140" s="287">
        <v>537</v>
      </c>
      <c r="D140" s="287">
        <v>58</v>
      </c>
      <c r="E140" s="288">
        <v>79</v>
      </c>
      <c r="F140" s="507"/>
      <c r="G140" s="532"/>
      <c r="H140" s="532"/>
      <c r="I140" s="507"/>
      <c r="J140" s="509"/>
      <c r="K140" s="511"/>
    </row>
    <row r="141" spans="2:11" x14ac:dyDescent="0.25">
      <c r="B141" s="522"/>
      <c r="C141" s="285">
        <v>243</v>
      </c>
      <c r="D141" s="285">
        <v>15</v>
      </c>
      <c r="E141" s="286">
        <v>38</v>
      </c>
      <c r="F141" s="507"/>
      <c r="G141" s="532"/>
      <c r="H141" s="532"/>
      <c r="I141" s="507"/>
      <c r="J141" s="509"/>
      <c r="K141" s="511"/>
    </row>
    <row r="142" spans="2:11" x14ac:dyDescent="0.25">
      <c r="B142" s="522"/>
      <c r="C142" s="287">
        <v>430</v>
      </c>
      <c r="D142" s="287">
        <v>64</v>
      </c>
      <c r="E142" s="288">
        <v>84</v>
      </c>
      <c r="F142" s="507"/>
      <c r="G142" s="532"/>
      <c r="H142" s="532"/>
      <c r="I142" s="507"/>
      <c r="J142" s="509"/>
      <c r="K142" s="511"/>
    </row>
    <row r="143" spans="2:11" x14ac:dyDescent="0.25">
      <c r="B143" s="522"/>
      <c r="C143" s="285">
        <v>338</v>
      </c>
      <c r="D143" s="285">
        <v>41</v>
      </c>
      <c r="E143" s="286">
        <v>64</v>
      </c>
      <c r="F143" s="507"/>
      <c r="G143" s="532"/>
      <c r="H143" s="532"/>
      <c r="I143" s="507"/>
      <c r="J143" s="509"/>
      <c r="K143" s="511"/>
    </row>
    <row r="144" spans="2:11" x14ac:dyDescent="0.25">
      <c r="B144" s="522"/>
      <c r="C144" s="287">
        <v>493</v>
      </c>
      <c r="D144" s="287">
        <v>18</v>
      </c>
      <c r="E144" s="288">
        <v>99</v>
      </c>
      <c r="F144" s="507"/>
      <c r="G144" s="532"/>
      <c r="H144" s="532"/>
      <c r="I144" s="507"/>
      <c r="J144" s="509"/>
      <c r="K144" s="511"/>
    </row>
    <row r="145" spans="1:34" x14ac:dyDescent="0.25">
      <c r="B145" s="522"/>
      <c r="C145" s="285">
        <v>848</v>
      </c>
      <c r="D145" s="285">
        <v>49</v>
      </c>
      <c r="E145" s="286">
        <v>278</v>
      </c>
      <c r="F145" s="507"/>
      <c r="G145" s="532"/>
      <c r="H145" s="532"/>
      <c r="I145" s="507"/>
      <c r="J145" s="509"/>
      <c r="K145" s="511"/>
    </row>
    <row r="146" spans="1:34" x14ac:dyDescent="0.25">
      <c r="B146" s="522"/>
      <c r="C146" s="287">
        <v>463</v>
      </c>
      <c r="D146" s="287">
        <v>30</v>
      </c>
      <c r="E146" s="288">
        <v>1</v>
      </c>
      <c r="F146" s="507"/>
      <c r="G146" s="532"/>
      <c r="H146" s="532"/>
      <c r="I146" s="507"/>
      <c r="J146" s="509"/>
      <c r="K146" s="511"/>
    </row>
    <row r="147" spans="1:34" x14ac:dyDescent="0.25">
      <c r="B147" s="522"/>
      <c r="C147" s="285">
        <v>764</v>
      </c>
      <c r="D147" s="285">
        <v>40</v>
      </c>
      <c r="E147" s="286">
        <v>244</v>
      </c>
      <c r="F147" s="507"/>
      <c r="G147" s="532"/>
      <c r="H147" s="532"/>
      <c r="I147" s="507"/>
      <c r="J147" s="509"/>
      <c r="K147" s="511"/>
    </row>
    <row r="148" spans="1:34" x14ac:dyDescent="0.25">
      <c r="B148" s="522"/>
      <c r="C148" s="287">
        <v>191</v>
      </c>
      <c r="D148" s="287">
        <v>12</v>
      </c>
      <c r="E148" s="288">
        <v>35</v>
      </c>
      <c r="F148" s="507"/>
      <c r="G148" s="532"/>
      <c r="H148" s="532"/>
      <c r="I148" s="507"/>
      <c r="J148" s="509"/>
      <c r="K148" s="511"/>
    </row>
    <row r="149" spans="1:34" x14ac:dyDescent="0.25">
      <c r="B149" s="522"/>
      <c r="C149" s="285">
        <v>283</v>
      </c>
      <c r="D149" s="285">
        <v>62</v>
      </c>
      <c r="E149" s="286">
        <v>22</v>
      </c>
      <c r="F149" s="507"/>
      <c r="G149" s="532"/>
      <c r="H149" s="532"/>
      <c r="I149" s="507"/>
      <c r="J149" s="509"/>
      <c r="K149" s="511"/>
    </row>
    <row r="150" spans="1:34" x14ac:dyDescent="0.25">
      <c r="B150" s="522"/>
      <c r="C150" s="287">
        <v>429</v>
      </c>
      <c r="D150" s="287">
        <v>74</v>
      </c>
      <c r="E150" s="288">
        <v>60</v>
      </c>
      <c r="F150" s="507"/>
      <c r="G150" s="532"/>
      <c r="H150" s="532"/>
      <c r="I150" s="507"/>
      <c r="J150" s="509"/>
      <c r="K150" s="511"/>
    </row>
    <row r="151" spans="1:34" x14ac:dyDescent="0.25">
      <c r="B151" s="522"/>
      <c r="C151" s="285">
        <v>871</v>
      </c>
      <c r="D151" s="285">
        <v>82</v>
      </c>
      <c r="E151" s="286">
        <v>66</v>
      </c>
      <c r="F151" s="507"/>
      <c r="G151" s="532"/>
      <c r="H151" s="532"/>
      <c r="I151" s="507"/>
      <c r="J151" s="509"/>
      <c r="K151" s="511"/>
    </row>
    <row r="152" spans="1:34" x14ac:dyDescent="0.25">
      <c r="B152" s="522"/>
      <c r="C152" s="287">
        <v>739</v>
      </c>
      <c r="D152" s="287">
        <v>99</v>
      </c>
      <c r="E152" s="288">
        <v>143</v>
      </c>
      <c r="F152" s="507"/>
      <c r="G152" s="532"/>
      <c r="H152" s="532"/>
      <c r="I152" s="507"/>
      <c r="J152" s="509"/>
      <c r="K152" s="511"/>
    </row>
    <row r="153" spans="1:34" x14ac:dyDescent="0.25">
      <c r="B153" s="522"/>
      <c r="C153" s="285">
        <v>255</v>
      </c>
      <c r="D153" s="285">
        <v>82</v>
      </c>
      <c r="E153" s="286">
        <v>51</v>
      </c>
      <c r="F153" s="507"/>
      <c r="G153" s="532"/>
      <c r="H153" s="532"/>
      <c r="I153" s="507"/>
      <c r="J153" s="509"/>
      <c r="K153" s="511"/>
    </row>
    <row r="154" spans="1:34" ht="15.75" thickBot="1" x14ac:dyDescent="0.3">
      <c r="B154" s="523"/>
      <c r="C154" s="291">
        <v>115</v>
      </c>
      <c r="D154" s="291">
        <v>19</v>
      </c>
      <c r="E154" s="292">
        <v>41</v>
      </c>
      <c r="F154" s="530"/>
      <c r="G154" s="533"/>
      <c r="H154" s="533"/>
      <c r="I154" s="530"/>
      <c r="J154" s="544"/>
      <c r="K154" s="545"/>
    </row>
    <row r="157" spans="1:34" x14ac:dyDescent="0.25">
      <c r="A157" s="13"/>
      <c r="B157" s="14"/>
      <c r="C157" s="13"/>
      <c r="D157" s="13"/>
      <c r="E157" s="13"/>
      <c r="F157" s="14"/>
      <c r="G157" s="14"/>
      <c r="H157" s="14"/>
      <c r="I157" s="14"/>
      <c r="J157" s="14"/>
      <c r="K157" s="14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</row>
    <row r="159" spans="1:34" ht="15.75" thickBot="1" x14ac:dyDescent="0.3"/>
    <row r="160" spans="1:34" ht="27" thickBot="1" x14ac:dyDescent="0.3">
      <c r="B160" s="540" t="s">
        <v>392</v>
      </c>
      <c r="C160" s="541"/>
      <c r="D160" s="541"/>
      <c r="E160" s="541"/>
      <c r="F160" s="541"/>
      <c r="G160" s="541"/>
      <c r="H160" s="541"/>
      <c r="I160" s="541"/>
      <c r="J160" s="541"/>
      <c r="K160" s="542"/>
    </row>
    <row r="161" spans="2:17" ht="21.75" thickBot="1" x14ac:dyDescent="0.4">
      <c r="B161" s="397" t="s">
        <v>398</v>
      </c>
      <c r="C161" s="398"/>
      <c r="D161" s="398"/>
      <c r="E161" s="398"/>
      <c r="F161" s="398"/>
      <c r="G161" s="398"/>
      <c r="H161" s="398"/>
      <c r="I161" s="398"/>
      <c r="J161" s="398"/>
      <c r="K161" s="399"/>
    </row>
    <row r="162" spans="2:17" ht="15.75" thickBot="1" x14ac:dyDescent="0.3"/>
    <row r="163" spans="2:17" ht="19.5" thickBot="1" x14ac:dyDescent="0.3">
      <c r="B163" s="177"/>
      <c r="C163" s="178"/>
      <c r="D163" s="178"/>
      <c r="E163" s="178"/>
      <c r="F163" s="421" t="s">
        <v>389</v>
      </c>
      <c r="G163" s="421"/>
      <c r="H163" s="421"/>
      <c r="I163" s="421" t="s">
        <v>390</v>
      </c>
      <c r="J163" s="421"/>
      <c r="K163" s="422"/>
    </row>
    <row r="164" spans="2:17" ht="18.75" x14ac:dyDescent="0.25">
      <c r="B164" s="180" t="s">
        <v>262</v>
      </c>
      <c r="C164" s="179" t="s">
        <v>473</v>
      </c>
      <c r="D164" s="179" t="s">
        <v>267</v>
      </c>
      <c r="E164" s="179" t="s">
        <v>268</v>
      </c>
      <c r="F164" s="179" t="s">
        <v>473</v>
      </c>
      <c r="G164" s="179" t="s">
        <v>267</v>
      </c>
      <c r="H164" s="179" t="s">
        <v>268</v>
      </c>
      <c r="I164" s="179" t="s">
        <v>473</v>
      </c>
      <c r="J164" s="179" t="s">
        <v>267</v>
      </c>
      <c r="K164" s="181" t="s">
        <v>268</v>
      </c>
      <c r="N164" s="208" t="s">
        <v>262</v>
      </c>
      <c r="O164" s="209" t="s">
        <v>473</v>
      </c>
      <c r="P164" s="209" t="s">
        <v>267</v>
      </c>
      <c r="Q164" s="210" t="s">
        <v>268</v>
      </c>
    </row>
    <row r="165" spans="2:17" x14ac:dyDescent="0.25">
      <c r="B165" s="232" t="s">
        <v>315</v>
      </c>
      <c r="C165" s="230">
        <v>224</v>
      </c>
      <c r="D165" s="230">
        <v>80</v>
      </c>
      <c r="E165" s="230">
        <v>32</v>
      </c>
      <c r="F165" s="299">
        <v>224</v>
      </c>
      <c r="G165" s="299">
        <v>80</v>
      </c>
      <c r="H165" s="299">
        <v>32</v>
      </c>
      <c r="I165" s="299">
        <v>224</v>
      </c>
      <c r="J165" s="299">
        <v>80</v>
      </c>
      <c r="K165" s="300">
        <v>32</v>
      </c>
      <c r="N165" s="78" t="s">
        <v>315</v>
      </c>
      <c r="O165" s="98">
        <v>224</v>
      </c>
      <c r="P165" s="109">
        <v>80</v>
      </c>
      <c r="Q165" s="99">
        <v>32</v>
      </c>
    </row>
    <row r="166" spans="2:17" x14ac:dyDescent="0.25">
      <c r="B166" s="432" t="s">
        <v>313</v>
      </c>
      <c r="C166" s="221">
        <v>285</v>
      </c>
      <c r="D166" s="221">
        <v>23</v>
      </c>
      <c r="E166" s="221">
        <v>35</v>
      </c>
      <c r="F166" s="547">
        <f>+SUM(C166:C179)</f>
        <v>6517</v>
      </c>
      <c r="G166" s="547">
        <f>+SUM(D166:D179)</f>
        <v>1138</v>
      </c>
      <c r="H166" s="547">
        <f>+SUM(E166:E179)</f>
        <v>1677</v>
      </c>
      <c r="I166" s="547">
        <f>+AVERAGE(C166:C179)</f>
        <v>465.5</v>
      </c>
      <c r="J166" s="547">
        <f>+AVERAGE(D166:D179)</f>
        <v>81.285714285714292</v>
      </c>
      <c r="K166" s="546">
        <f>+AVERAGE(E166:E179)</f>
        <v>119.78571428571429</v>
      </c>
      <c r="N166" s="26" t="s">
        <v>313</v>
      </c>
      <c r="O166" s="100">
        <f>+AVERAGE(I166:I179)</f>
        <v>465.5</v>
      </c>
      <c r="P166" s="100">
        <f>+AVERAGE(J166:J179)</f>
        <v>81.285714285714292</v>
      </c>
      <c r="Q166" s="101">
        <f>+AVERAGE(K166:K179)</f>
        <v>119.78571428571429</v>
      </c>
    </row>
    <row r="167" spans="2:17" x14ac:dyDescent="0.25">
      <c r="B167" s="433"/>
      <c r="C167" s="242">
        <v>421</v>
      </c>
      <c r="D167" s="242">
        <v>106</v>
      </c>
      <c r="E167" s="242">
        <v>105</v>
      </c>
      <c r="F167" s="547"/>
      <c r="G167" s="547"/>
      <c r="H167" s="547"/>
      <c r="I167" s="547"/>
      <c r="J167" s="547"/>
      <c r="K167" s="546"/>
      <c r="N167" s="78" t="s">
        <v>362</v>
      </c>
      <c r="O167" s="98">
        <f>+AVERAGE(I180)</f>
        <v>193</v>
      </c>
      <c r="P167" s="98">
        <f>+AVERAGE(J180)</f>
        <v>37</v>
      </c>
      <c r="Q167" s="99">
        <f>+AVERAGE(K180)</f>
        <v>37</v>
      </c>
    </row>
    <row r="168" spans="2:17" x14ac:dyDescent="0.25">
      <c r="B168" s="433"/>
      <c r="C168" s="221">
        <v>345</v>
      </c>
      <c r="D168" s="221">
        <v>56</v>
      </c>
      <c r="E168" s="221">
        <v>42</v>
      </c>
      <c r="F168" s="547"/>
      <c r="G168" s="547"/>
      <c r="H168" s="547"/>
      <c r="I168" s="547"/>
      <c r="J168" s="547"/>
      <c r="K168" s="546"/>
      <c r="N168" s="26" t="s">
        <v>283</v>
      </c>
      <c r="O168" s="100">
        <f>+AVERAGE(I181:I194)</f>
        <v>1544.1428571428571</v>
      </c>
      <c r="P168" s="100">
        <f>+AVERAGE(J181:J194)</f>
        <v>71.642857142857139</v>
      </c>
      <c r="Q168" s="101">
        <f>+AVERAGE(K181:K194)</f>
        <v>648.14285714285711</v>
      </c>
    </row>
    <row r="169" spans="2:17" x14ac:dyDescent="0.25">
      <c r="B169" s="433"/>
      <c r="C169" s="221">
        <v>106</v>
      </c>
      <c r="D169" s="221">
        <v>44</v>
      </c>
      <c r="E169" s="221">
        <v>29</v>
      </c>
      <c r="F169" s="547"/>
      <c r="G169" s="547"/>
      <c r="H169" s="547"/>
      <c r="I169" s="547"/>
      <c r="J169" s="547"/>
      <c r="K169" s="546"/>
      <c r="N169" s="78" t="s">
        <v>273</v>
      </c>
      <c r="O169" s="229">
        <f>+AVERAGE(I195:I198)</f>
        <v>200.25</v>
      </c>
      <c r="P169" s="98">
        <f>+AVERAGE(J195:J198)</f>
        <v>51.25</v>
      </c>
      <c r="Q169" s="99">
        <f>+AVERAGE(K195:K198)</f>
        <v>53</v>
      </c>
    </row>
    <row r="170" spans="2:17" ht="15.75" thickBot="1" x14ac:dyDescent="0.3">
      <c r="B170" s="433"/>
      <c r="C170" s="242">
        <v>274</v>
      </c>
      <c r="D170" s="242">
        <v>108</v>
      </c>
      <c r="E170" s="242">
        <v>61</v>
      </c>
      <c r="F170" s="547"/>
      <c r="G170" s="547"/>
      <c r="H170" s="547"/>
      <c r="I170" s="547"/>
      <c r="J170" s="547"/>
      <c r="K170" s="546"/>
      <c r="N170" s="27" t="s">
        <v>292</v>
      </c>
      <c r="O170" s="102">
        <f>+AVERAGE(I199:I223)</f>
        <v>598.48</v>
      </c>
      <c r="P170" s="102">
        <f>+AVERAGE(J199:J223)</f>
        <v>71.56</v>
      </c>
      <c r="Q170" s="103">
        <f>+AVERAGE(K199:K223)</f>
        <v>101.24</v>
      </c>
    </row>
    <row r="171" spans="2:17" x14ac:dyDescent="0.25">
      <c r="B171" s="433"/>
      <c r="C171" s="242">
        <v>514</v>
      </c>
      <c r="D171" s="242">
        <v>135</v>
      </c>
      <c r="E171" s="242">
        <v>184</v>
      </c>
      <c r="F171" s="547"/>
      <c r="G171" s="547"/>
      <c r="H171" s="547"/>
      <c r="I171" s="547"/>
      <c r="J171" s="547"/>
      <c r="K171" s="546"/>
    </row>
    <row r="172" spans="2:17" x14ac:dyDescent="0.25">
      <c r="B172" s="433"/>
      <c r="C172" s="221">
        <v>120</v>
      </c>
      <c r="D172" s="221">
        <v>30</v>
      </c>
      <c r="E172" s="221">
        <v>23</v>
      </c>
      <c r="F172" s="547"/>
      <c r="G172" s="547"/>
      <c r="H172" s="547"/>
      <c r="I172" s="547"/>
      <c r="J172" s="547"/>
      <c r="K172" s="546"/>
    </row>
    <row r="173" spans="2:17" x14ac:dyDescent="0.25">
      <c r="B173" s="433"/>
      <c r="C173" s="223">
        <v>2500</v>
      </c>
      <c r="D173" s="223">
        <v>178</v>
      </c>
      <c r="E173" s="223">
        <v>701</v>
      </c>
      <c r="F173" s="547"/>
      <c r="G173" s="547"/>
      <c r="H173" s="547"/>
      <c r="I173" s="547"/>
      <c r="J173" s="547"/>
      <c r="K173" s="546"/>
    </row>
    <row r="174" spans="2:17" x14ac:dyDescent="0.25">
      <c r="B174" s="433"/>
      <c r="C174" s="223">
        <v>254</v>
      </c>
      <c r="D174" s="223">
        <v>81</v>
      </c>
      <c r="E174" s="223">
        <v>50</v>
      </c>
      <c r="F174" s="547"/>
      <c r="G174" s="547"/>
      <c r="H174" s="547"/>
      <c r="I174" s="547"/>
      <c r="J174" s="547"/>
      <c r="K174" s="546"/>
    </row>
    <row r="175" spans="2:17" x14ac:dyDescent="0.25">
      <c r="B175" s="433"/>
      <c r="C175" s="221">
        <v>695</v>
      </c>
      <c r="D175" s="221">
        <v>79</v>
      </c>
      <c r="E175" s="221">
        <v>115</v>
      </c>
      <c r="F175" s="547"/>
      <c r="G175" s="547"/>
      <c r="H175" s="547"/>
      <c r="I175" s="547"/>
      <c r="J175" s="547"/>
      <c r="K175" s="546"/>
    </row>
    <row r="176" spans="2:17" x14ac:dyDescent="0.25">
      <c r="B176" s="433"/>
      <c r="C176" s="242">
        <v>743</v>
      </c>
      <c r="D176" s="242">
        <v>216</v>
      </c>
      <c r="E176" s="242">
        <v>285</v>
      </c>
      <c r="F176" s="547"/>
      <c r="G176" s="547"/>
      <c r="H176" s="547"/>
      <c r="I176" s="547"/>
      <c r="J176" s="547"/>
      <c r="K176" s="546"/>
    </row>
    <row r="177" spans="2:11" x14ac:dyDescent="0.25">
      <c r="B177" s="433"/>
      <c r="C177" s="221">
        <v>154</v>
      </c>
      <c r="D177" s="221">
        <v>41</v>
      </c>
      <c r="E177" s="221">
        <v>26</v>
      </c>
      <c r="F177" s="547"/>
      <c r="G177" s="547"/>
      <c r="H177" s="547"/>
      <c r="I177" s="547"/>
      <c r="J177" s="547"/>
      <c r="K177" s="546"/>
    </row>
    <row r="178" spans="2:11" x14ac:dyDescent="0.25">
      <c r="B178" s="433"/>
      <c r="C178" s="221">
        <v>50</v>
      </c>
      <c r="D178" s="221">
        <v>11</v>
      </c>
      <c r="E178" s="221">
        <v>4</v>
      </c>
      <c r="F178" s="547"/>
      <c r="G178" s="547"/>
      <c r="H178" s="547"/>
      <c r="I178" s="547"/>
      <c r="J178" s="547"/>
      <c r="K178" s="546"/>
    </row>
    <row r="179" spans="2:11" x14ac:dyDescent="0.25">
      <c r="B179" s="434"/>
      <c r="C179" s="242">
        <v>56</v>
      </c>
      <c r="D179" s="242">
        <v>30</v>
      </c>
      <c r="E179" s="242">
        <v>17</v>
      </c>
      <c r="F179" s="547"/>
      <c r="G179" s="547"/>
      <c r="H179" s="547"/>
      <c r="I179" s="547"/>
      <c r="J179" s="547"/>
      <c r="K179" s="546"/>
    </row>
    <row r="180" spans="2:11" x14ac:dyDescent="0.25">
      <c r="B180" s="232" t="s">
        <v>362</v>
      </c>
      <c r="C180" s="230">
        <v>193</v>
      </c>
      <c r="D180" s="230">
        <v>37</v>
      </c>
      <c r="E180" s="230">
        <v>37</v>
      </c>
      <c r="F180" s="281">
        <f>+SUM(C180)</f>
        <v>193</v>
      </c>
      <c r="G180" s="281">
        <f>+SUM(D180)</f>
        <v>37</v>
      </c>
      <c r="H180" s="281">
        <f>+SUM(E180)</f>
        <v>37</v>
      </c>
      <c r="I180" s="281">
        <f>+AVERAGE(C180)</f>
        <v>193</v>
      </c>
      <c r="J180" s="281">
        <f>+AVERAGE(D180)</f>
        <v>37</v>
      </c>
      <c r="K180" s="282">
        <f>+AVERAGE(E180)</f>
        <v>37</v>
      </c>
    </row>
    <row r="181" spans="2:11" x14ac:dyDescent="0.25">
      <c r="B181" s="500" t="s">
        <v>283</v>
      </c>
      <c r="C181" s="245">
        <v>530</v>
      </c>
      <c r="D181" s="245">
        <v>98</v>
      </c>
      <c r="E181" s="245">
        <v>84</v>
      </c>
      <c r="F181" s="547">
        <f>+SUM(C181:C194)</f>
        <v>21618</v>
      </c>
      <c r="G181" s="547">
        <f>+SUM(D181:D194)</f>
        <v>1003</v>
      </c>
      <c r="H181" s="547">
        <f>+SUM(E181:E194)</f>
        <v>9074</v>
      </c>
      <c r="I181" s="547">
        <f>+AVERAGE(C181:C194)</f>
        <v>1544.1428571428571</v>
      </c>
      <c r="J181" s="547">
        <f>+AVERAGE(D181:D194)</f>
        <v>71.642857142857139</v>
      </c>
      <c r="K181" s="546">
        <f>+AVERAGE(E181:E194)</f>
        <v>648.14285714285711</v>
      </c>
    </row>
    <row r="182" spans="2:11" x14ac:dyDescent="0.25">
      <c r="B182" s="501"/>
      <c r="C182" s="242">
        <v>152</v>
      </c>
      <c r="D182" s="242">
        <v>56</v>
      </c>
      <c r="E182" s="242">
        <v>37</v>
      </c>
      <c r="F182" s="547"/>
      <c r="G182" s="547"/>
      <c r="H182" s="547"/>
      <c r="I182" s="547"/>
      <c r="J182" s="547"/>
      <c r="K182" s="546"/>
    </row>
    <row r="183" spans="2:11" x14ac:dyDescent="0.25">
      <c r="B183" s="501"/>
      <c r="C183" s="221">
        <v>3500</v>
      </c>
      <c r="D183" s="221">
        <v>114</v>
      </c>
      <c r="E183" s="221">
        <v>160</v>
      </c>
      <c r="F183" s="547"/>
      <c r="G183" s="547"/>
      <c r="H183" s="547"/>
      <c r="I183" s="547"/>
      <c r="J183" s="547"/>
      <c r="K183" s="546"/>
    </row>
    <row r="184" spans="2:11" x14ac:dyDescent="0.25">
      <c r="B184" s="501"/>
      <c r="C184" s="221">
        <v>175</v>
      </c>
      <c r="D184" s="221">
        <v>39</v>
      </c>
      <c r="E184" s="221">
        <v>34</v>
      </c>
      <c r="F184" s="547"/>
      <c r="G184" s="547"/>
      <c r="H184" s="547"/>
      <c r="I184" s="547"/>
      <c r="J184" s="547"/>
      <c r="K184" s="546"/>
    </row>
    <row r="185" spans="2:11" x14ac:dyDescent="0.25">
      <c r="B185" s="501"/>
      <c r="C185" s="242">
        <v>1000</v>
      </c>
      <c r="D185" s="242">
        <v>53</v>
      </c>
      <c r="E185" s="242">
        <v>58</v>
      </c>
      <c r="F185" s="547"/>
      <c r="G185" s="547"/>
      <c r="H185" s="547"/>
      <c r="I185" s="547"/>
      <c r="J185" s="547"/>
      <c r="K185" s="546"/>
    </row>
    <row r="186" spans="2:11" x14ac:dyDescent="0.25">
      <c r="B186" s="501"/>
      <c r="C186" s="221">
        <v>1100</v>
      </c>
      <c r="D186" s="221">
        <v>22</v>
      </c>
      <c r="E186" s="221">
        <v>40</v>
      </c>
      <c r="F186" s="547"/>
      <c r="G186" s="547"/>
      <c r="H186" s="547"/>
      <c r="I186" s="547"/>
      <c r="J186" s="547"/>
      <c r="K186" s="546"/>
    </row>
    <row r="187" spans="2:11" x14ac:dyDescent="0.25">
      <c r="B187" s="501"/>
      <c r="C187" s="221">
        <v>1400</v>
      </c>
      <c r="D187" s="221">
        <v>87</v>
      </c>
      <c r="E187" s="221">
        <v>0</v>
      </c>
      <c r="F187" s="547"/>
      <c r="G187" s="547"/>
      <c r="H187" s="547"/>
      <c r="I187" s="547"/>
      <c r="J187" s="547"/>
      <c r="K187" s="546"/>
    </row>
    <row r="188" spans="2:11" x14ac:dyDescent="0.25">
      <c r="B188" s="501"/>
      <c r="C188" s="223">
        <v>96</v>
      </c>
      <c r="D188" s="223">
        <v>15</v>
      </c>
      <c r="E188" s="223">
        <v>22</v>
      </c>
      <c r="F188" s="547"/>
      <c r="G188" s="547"/>
      <c r="H188" s="547"/>
      <c r="I188" s="547"/>
      <c r="J188" s="547"/>
      <c r="K188" s="546"/>
    </row>
    <row r="189" spans="2:11" x14ac:dyDescent="0.25">
      <c r="B189" s="501"/>
      <c r="C189" s="242">
        <v>98</v>
      </c>
      <c r="D189" s="242">
        <v>25</v>
      </c>
      <c r="E189" s="242">
        <v>17</v>
      </c>
      <c r="F189" s="547"/>
      <c r="G189" s="547"/>
      <c r="H189" s="547"/>
      <c r="I189" s="547"/>
      <c r="J189" s="547"/>
      <c r="K189" s="546"/>
    </row>
    <row r="190" spans="2:11" x14ac:dyDescent="0.25">
      <c r="B190" s="501"/>
      <c r="C190" s="221">
        <v>23</v>
      </c>
      <c r="D190" s="221">
        <v>11</v>
      </c>
      <c r="E190" s="221">
        <v>3</v>
      </c>
      <c r="F190" s="547"/>
      <c r="G190" s="547"/>
      <c r="H190" s="547"/>
      <c r="I190" s="547"/>
      <c r="J190" s="547"/>
      <c r="K190" s="546"/>
    </row>
    <row r="191" spans="2:11" x14ac:dyDescent="0.25">
      <c r="B191" s="501"/>
      <c r="C191" s="242">
        <v>9500</v>
      </c>
      <c r="D191" s="242">
        <v>213</v>
      </c>
      <c r="E191" s="242">
        <v>7613</v>
      </c>
      <c r="F191" s="547"/>
      <c r="G191" s="547"/>
      <c r="H191" s="547"/>
      <c r="I191" s="547"/>
      <c r="J191" s="547"/>
      <c r="K191" s="546"/>
    </row>
    <row r="192" spans="2:11" x14ac:dyDescent="0.25">
      <c r="B192" s="501"/>
      <c r="C192" s="242">
        <v>592</v>
      </c>
      <c r="D192" s="242">
        <v>46</v>
      </c>
      <c r="E192" s="242">
        <v>131</v>
      </c>
      <c r="F192" s="547"/>
      <c r="G192" s="547"/>
      <c r="H192" s="547"/>
      <c r="I192" s="547"/>
      <c r="J192" s="547"/>
      <c r="K192" s="546"/>
    </row>
    <row r="193" spans="2:11" x14ac:dyDescent="0.25">
      <c r="B193" s="501"/>
      <c r="C193" s="223">
        <v>428</v>
      </c>
      <c r="D193" s="223">
        <v>30</v>
      </c>
      <c r="E193" s="223">
        <v>103</v>
      </c>
      <c r="F193" s="547"/>
      <c r="G193" s="547"/>
      <c r="H193" s="547"/>
      <c r="I193" s="547"/>
      <c r="J193" s="547"/>
      <c r="K193" s="546"/>
    </row>
    <row r="194" spans="2:11" x14ac:dyDescent="0.25">
      <c r="B194" s="502"/>
      <c r="C194" s="221">
        <v>3024</v>
      </c>
      <c r="D194" s="221">
        <v>194</v>
      </c>
      <c r="E194" s="221">
        <v>772</v>
      </c>
      <c r="F194" s="547"/>
      <c r="G194" s="547"/>
      <c r="H194" s="547"/>
      <c r="I194" s="547"/>
      <c r="J194" s="547"/>
      <c r="K194" s="546"/>
    </row>
    <row r="195" spans="2:11" x14ac:dyDescent="0.25">
      <c r="B195" s="481" t="s">
        <v>273</v>
      </c>
      <c r="C195" s="259">
        <v>238</v>
      </c>
      <c r="D195" s="259">
        <v>34</v>
      </c>
      <c r="E195" s="259">
        <v>26</v>
      </c>
      <c r="F195" s="531">
        <f>+SUM(C195:C198)</f>
        <v>801</v>
      </c>
      <c r="G195" s="531">
        <f>+SUM(D195:D198)</f>
        <v>205</v>
      </c>
      <c r="H195" s="531">
        <f>+SUM(E195:E198)</f>
        <v>212</v>
      </c>
      <c r="I195" s="531">
        <f>+AVERAGE(C195:C198)</f>
        <v>200.25</v>
      </c>
      <c r="J195" s="531">
        <f>+AVERAGE(D195:D198)</f>
        <v>51.25</v>
      </c>
      <c r="K195" s="559">
        <f>+AVERAGE(E195:E198)</f>
        <v>53</v>
      </c>
    </row>
    <row r="196" spans="2:11" x14ac:dyDescent="0.25">
      <c r="B196" s="482"/>
      <c r="C196" s="259">
        <v>129</v>
      </c>
      <c r="D196" s="259">
        <v>84</v>
      </c>
      <c r="E196" s="259">
        <v>32</v>
      </c>
      <c r="F196" s="531"/>
      <c r="G196" s="531"/>
      <c r="H196" s="531"/>
      <c r="I196" s="531"/>
      <c r="J196" s="531"/>
      <c r="K196" s="559"/>
    </row>
    <row r="197" spans="2:11" x14ac:dyDescent="0.25">
      <c r="B197" s="482"/>
      <c r="C197" s="230">
        <v>82</v>
      </c>
      <c r="D197" s="230">
        <v>33</v>
      </c>
      <c r="E197" s="230">
        <v>65</v>
      </c>
      <c r="F197" s="531"/>
      <c r="G197" s="531"/>
      <c r="H197" s="531"/>
      <c r="I197" s="531"/>
      <c r="J197" s="531"/>
      <c r="K197" s="559"/>
    </row>
    <row r="198" spans="2:11" x14ac:dyDescent="0.25">
      <c r="B198" s="483"/>
      <c r="C198" s="230">
        <v>352</v>
      </c>
      <c r="D198" s="230">
        <v>54</v>
      </c>
      <c r="E198" s="230">
        <v>89</v>
      </c>
      <c r="F198" s="531"/>
      <c r="G198" s="531"/>
      <c r="H198" s="531"/>
      <c r="I198" s="531"/>
      <c r="J198" s="531"/>
      <c r="K198" s="559"/>
    </row>
    <row r="199" spans="2:11" x14ac:dyDescent="0.25">
      <c r="B199" s="432" t="s">
        <v>292</v>
      </c>
      <c r="C199" s="221">
        <v>2100</v>
      </c>
      <c r="D199" s="221">
        <v>355</v>
      </c>
      <c r="E199" s="221">
        <v>220</v>
      </c>
      <c r="F199" s="547">
        <f>+SUM(C199:C223)</f>
        <v>14962</v>
      </c>
      <c r="G199" s="547">
        <f>+SUM(D199:D223)</f>
        <v>1789</v>
      </c>
      <c r="H199" s="547">
        <f>+SUM(E199:E223)</f>
        <v>2531</v>
      </c>
      <c r="I199" s="547">
        <f>+AVERAGE(C199:C223)</f>
        <v>598.48</v>
      </c>
      <c r="J199" s="547">
        <f>+AVERAGE(D199:D223)</f>
        <v>71.56</v>
      </c>
      <c r="K199" s="546">
        <f>+AVERAGE(E199:E223)</f>
        <v>101.24</v>
      </c>
    </row>
    <row r="200" spans="2:11" x14ac:dyDescent="0.25">
      <c r="B200" s="433"/>
      <c r="C200" s="242">
        <v>938</v>
      </c>
      <c r="D200" s="242">
        <v>72</v>
      </c>
      <c r="E200" s="242">
        <v>67</v>
      </c>
      <c r="F200" s="547"/>
      <c r="G200" s="547"/>
      <c r="H200" s="547"/>
      <c r="I200" s="547"/>
      <c r="J200" s="547"/>
      <c r="K200" s="546"/>
    </row>
    <row r="201" spans="2:11" x14ac:dyDescent="0.25">
      <c r="B201" s="433"/>
      <c r="C201" s="242">
        <v>1100</v>
      </c>
      <c r="D201" s="242">
        <v>80</v>
      </c>
      <c r="E201" s="242">
        <v>119</v>
      </c>
      <c r="F201" s="547"/>
      <c r="G201" s="547"/>
      <c r="H201" s="547"/>
      <c r="I201" s="547"/>
      <c r="J201" s="547"/>
      <c r="K201" s="546"/>
    </row>
    <row r="202" spans="2:11" x14ac:dyDescent="0.25">
      <c r="B202" s="433"/>
      <c r="C202" s="242">
        <v>479</v>
      </c>
      <c r="D202" s="242">
        <v>81</v>
      </c>
      <c r="E202" s="242">
        <v>147</v>
      </c>
      <c r="F202" s="547"/>
      <c r="G202" s="547"/>
      <c r="H202" s="547"/>
      <c r="I202" s="547"/>
      <c r="J202" s="547"/>
      <c r="K202" s="546"/>
    </row>
    <row r="203" spans="2:11" x14ac:dyDescent="0.25">
      <c r="B203" s="433"/>
      <c r="C203" s="221">
        <v>246</v>
      </c>
      <c r="D203" s="221">
        <v>82</v>
      </c>
      <c r="E203" s="221">
        <v>25</v>
      </c>
      <c r="F203" s="547"/>
      <c r="G203" s="547"/>
      <c r="H203" s="547"/>
      <c r="I203" s="547"/>
      <c r="J203" s="547"/>
      <c r="K203" s="546"/>
    </row>
    <row r="204" spans="2:11" x14ac:dyDescent="0.25">
      <c r="B204" s="433"/>
      <c r="C204" s="242">
        <v>351</v>
      </c>
      <c r="D204" s="242">
        <v>44</v>
      </c>
      <c r="E204" s="242">
        <v>61</v>
      </c>
      <c r="F204" s="547"/>
      <c r="G204" s="547"/>
      <c r="H204" s="547"/>
      <c r="I204" s="547"/>
      <c r="J204" s="547"/>
      <c r="K204" s="546"/>
    </row>
    <row r="205" spans="2:11" x14ac:dyDescent="0.25">
      <c r="B205" s="433"/>
      <c r="C205" s="242">
        <v>1232</v>
      </c>
      <c r="D205" s="242">
        <v>91</v>
      </c>
      <c r="E205" s="242">
        <v>489</v>
      </c>
      <c r="F205" s="547"/>
      <c r="G205" s="547"/>
      <c r="H205" s="547"/>
      <c r="I205" s="547"/>
      <c r="J205" s="547"/>
      <c r="K205" s="546"/>
    </row>
    <row r="206" spans="2:11" x14ac:dyDescent="0.25">
      <c r="B206" s="433"/>
      <c r="C206" s="221">
        <v>100</v>
      </c>
      <c r="D206" s="221">
        <v>43</v>
      </c>
      <c r="E206" s="221">
        <v>28</v>
      </c>
      <c r="F206" s="547"/>
      <c r="G206" s="547"/>
      <c r="H206" s="547"/>
      <c r="I206" s="547"/>
      <c r="J206" s="547"/>
      <c r="K206" s="546"/>
    </row>
    <row r="207" spans="2:11" x14ac:dyDescent="0.25">
      <c r="B207" s="433"/>
      <c r="C207" s="221">
        <v>311</v>
      </c>
      <c r="D207" s="221">
        <v>51</v>
      </c>
      <c r="E207" s="221">
        <v>39</v>
      </c>
      <c r="F207" s="547"/>
      <c r="G207" s="547"/>
      <c r="H207" s="547"/>
      <c r="I207" s="547"/>
      <c r="J207" s="547"/>
      <c r="K207" s="546"/>
    </row>
    <row r="208" spans="2:11" x14ac:dyDescent="0.25">
      <c r="B208" s="433"/>
      <c r="C208" s="223">
        <v>403</v>
      </c>
      <c r="D208" s="223">
        <v>74</v>
      </c>
      <c r="E208" s="223">
        <v>74</v>
      </c>
      <c r="F208" s="547"/>
      <c r="G208" s="547"/>
      <c r="H208" s="547"/>
      <c r="I208" s="547"/>
      <c r="J208" s="547"/>
      <c r="K208" s="546"/>
    </row>
    <row r="209" spans="2:11" x14ac:dyDescent="0.25">
      <c r="B209" s="433"/>
      <c r="C209" s="221">
        <v>192</v>
      </c>
      <c r="D209" s="221">
        <v>33</v>
      </c>
      <c r="E209" s="221">
        <v>26</v>
      </c>
      <c r="F209" s="547"/>
      <c r="G209" s="547"/>
      <c r="H209" s="547"/>
      <c r="I209" s="547"/>
      <c r="J209" s="547"/>
      <c r="K209" s="546"/>
    </row>
    <row r="210" spans="2:11" x14ac:dyDescent="0.25">
      <c r="B210" s="433"/>
      <c r="C210" s="242">
        <v>995</v>
      </c>
      <c r="D210" s="242">
        <v>64</v>
      </c>
      <c r="E210" s="242">
        <v>86</v>
      </c>
      <c r="F210" s="547"/>
      <c r="G210" s="547"/>
      <c r="H210" s="547"/>
      <c r="I210" s="547"/>
      <c r="J210" s="547"/>
      <c r="K210" s="546"/>
    </row>
    <row r="211" spans="2:11" x14ac:dyDescent="0.25">
      <c r="B211" s="433"/>
      <c r="C211" s="221">
        <v>106</v>
      </c>
      <c r="D211" s="221">
        <v>34</v>
      </c>
      <c r="E211" s="221">
        <v>16</v>
      </c>
      <c r="F211" s="547"/>
      <c r="G211" s="547"/>
      <c r="H211" s="547"/>
      <c r="I211" s="547"/>
      <c r="J211" s="547"/>
      <c r="K211" s="546"/>
    </row>
    <row r="212" spans="2:11" x14ac:dyDescent="0.25">
      <c r="B212" s="433"/>
      <c r="C212" s="242">
        <v>145</v>
      </c>
      <c r="D212" s="242">
        <v>22</v>
      </c>
      <c r="E212" s="242">
        <v>16</v>
      </c>
      <c r="F212" s="547"/>
      <c r="G212" s="547"/>
      <c r="H212" s="547"/>
      <c r="I212" s="547"/>
      <c r="J212" s="547"/>
      <c r="K212" s="546"/>
    </row>
    <row r="213" spans="2:11" x14ac:dyDescent="0.25">
      <c r="B213" s="433"/>
      <c r="C213" s="242">
        <v>921</v>
      </c>
      <c r="D213" s="242">
        <v>42</v>
      </c>
      <c r="E213" s="242">
        <v>47</v>
      </c>
      <c r="F213" s="547"/>
      <c r="G213" s="547"/>
      <c r="H213" s="547"/>
      <c r="I213" s="547"/>
      <c r="J213" s="547"/>
      <c r="K213" s="546"/>
    </row>
    <row r="214" spans="2:11" x14ac:dyDescent="0.25">
      <c r="B214" s="433"/>
      <c r="C214" s="223">
        <v>461</v>
      </c>
      <c r="D214" s="223">
        <v>79</v>
      </c>
      <c r="E214" s="223">
        <v>101</v>
      </c>
      <c r="F214" s="547"/>
      <c r="G214" s="547"/>
      <c r="H214" s="547"/>
      <c r="I214" s="547"/>
      <c r="J214" s="547"/>
      <c r="K214" s="546"/>
    </row>
    <row r="215" spans="2:11" x14ac:dyDescent="0.25">
      <c r="B215" s="433"/>
      <c r="C215" s="223">
        <v>484</v>
      </c>
      <c r="D215" s="223">
        <v>68</v>
      </c>
      <c r="E215" s="223">
        <v>46</v>
      </c>
      <c r="F215" s="547"/>
      <c r="G215" s="547"/>
      <c r="H215" s="547"/>
      <c r="I215" s="547"/>
      <c r="J215" s="547"/>
      <c r="K215" s="546"/>
    </row>
    <row r="216" spans="2:11" x14ac:dyDescent="0.25">
      <c r="B216" s="433"/>
      <c r="C216" s="223">
        <v>2400</v>
      </c>
      <c r="D216" s="223">
        <v>132</v>
      </c>
      <c r="E216" s="223">
        <v>490</v>
      </c>
      <c r="F216" s="547"/>
      <c r="G216" s="547"/>
      <c r="H216" s="547"/>
      <c r="I216" s="547"/>
      <c r="J216" s="547"/>
      <c r="K216" s="546"/>
    </row>
    <row r="217" spans="2:11" x14ac:dyDescent="0.25">
      <c r="B217" s="433"/>
      <c r="C217" s="242">
        <v>701</v>
      </c>
      <c r="D217" s="242">
        <v>108</v>
      </c>
      <c r="E217" s="242">
        <v>205</v>
      </c>
      <c r="F217" s="547"/>
      <c r="G217" s="547"/>
      <c r="H217" s="547"/>
      <c r="I217" s="547"/>
      <c r="J217" s="547"/>
      <c r="K217" s="546"/>
    </row>
    <row r="218" spans="2:11" x14ac:dyDescent="0.25">
      <c r="B218" s="433"/>
      <c r="C218" s="242">
        <v>264</v>
      </c>
      <c r="D218" s="242">
        <v>50</v>
      </c>
      <c r="E218" s="242">
        <v>22</v>
      </c>
      <c r="F218" s="547"/>
      <c r="G218" s="547"/>
      <c r="H218" s="547"/>
      <c r="I218" s="547"/>
      <c r="J218" s="547"/>
      <c r="K218" s="546"/>
    </row>
    <row r="219" spans="2:11" x14ac:dyDescent="0.25">
      <c r="B219" s="433"/>
      <c r="C219" s="221">
        <v>66</v>
      </c>
      <c r="D219" s="221">
        <v>41</v>
      </c>
      <c r="E219" s="221">
        <v>26</v>
      </c>
      <c r="F219" s="547"/>
      <c r="G219" s="547"/>
      <c r="H219" s="547"/>
      <c r="I219" s="547"/>
      <c r="J219" s="547"/>
      <c r="K219" s="546"/>
    </row>
    <row r="220" spans="2:11" x14ac:dyDescent="0.25">
      <c r="B220" s="433"/>
      <c r="C220" s="242">
        <v>312</v>
      </c>
      <c r="D220" s="242">
        <v>38</v>
      </c>
      <c r="E220" s="242">
        <v>53</v>
      </c>
      <c r="F220" s="547"/>
      <c r="G220" s="547"/>
      <c r="H220" s="547"/>
      <c r="I220" s="547"/>
      <c r="J220" s="547"/>
      <c r="K220" s="546"/>
    </row>
    <row r="221" spans="2:11" x14ac:dyDescent="0.25">
      <c r="B221" s="433"/>
      <c r="C221" s="221">
        <v>238</v>
      </c>
      <c r="D221" s="221">
        <v>29</v>
      </c>
      <c r="E221" s="221">
        <v>34</v>
      </c>
      <c r="F221" s="547"/>
      <c r="G221" s="547"/>
      <c r="H221" s="547"/>
      <c r="I221" s="547"/>
      <c r="J221" s="547"/>
      <c r="K221" s="546"/>
    </row>
    <row r="222" spans="2:11" x14ac:dyDescent="0.25">
      <c r="B222" s="433"/>
      <c r="C222" s="242">
        <v>333</v>
      </c>
      <c r="D222" s="242">
        <v>58</v>
      </c>
      <c r="E222" s="242">
        <v>80</v>
      </c>
      <c r="F222" s="547"/>
      <c r="G222" s="547"/>
      <c r="H222" s="547"/>
      <c r="I222" s="547"/>
      <c r="J222" s="547"/>
      <c r="K222" s="546"/>
    </row>
    <row r="223" spans="2:11" ht="15.75" thickBot="1" x14ac:dyDescent="0.3">
      <c r="B223" s="484"/>
      <c r="C223" s="311">
        <v>84</v>
      </c>
      <c r="D223" s="311">
        <v>18</v>
      </c>
      <c r="E223" s="311">
        <v>14</v>
      </c>
      <c r="F223" s="557"/>
      <c r="G223" s="557"/>
      <c r="H223" s="557"/>
      <c r="I223" s="557"/>
      <c r="J223" s="557"/>
      <c r="K223" s="558"/>
    </row>
    <row r="226" spans="1:34" x14ac:dyDescent="0.25">
      <c r="A226" s="13"/>
      <c r="B226" s="14"/>
      <c r="C226" s="13"/>
      <c r="D226" s="13"/>
      <c r="E226" s="13"/>
      <c r="F226" s="14"/>
      <c r="G226" s="14"/>
      <c r="H226" s="14"/>
      <c r="I226" s="14"/>
      <c r="J226" s="14"/>
      <c r="K226" s="14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</row>
    <row r="228" spans="1:34" ht="15.75" thickBot="1" x14ac:dyDescent="0.3"/>
    <row r="229" spans="1:34" ht="27" thickBot="1" x14ac:dyDescent="0.3">
      <c r="B229" s="540" t="s">
        <v>395</v>
      </c>
      <c r="C229" s="541"/>
      <c r="D229" s="541"/>
      <c r="E229" s="541"/>
      <c r="F229" s="541"/>
      <c r="G229" s="541"/>
      <c r="H229" s="541"/>
      <c r="I229" s="541"/>
      <c r="J229" s="541"/>
      <c r="K229" s="542"/>
    </row>
    <row r="230" spans="1:34" ht="21.75" thickBot="1" x14ac:dyDescent="0.4">
      <c r="B230" s="397" t="s">
        <v>398</v>
      </c>
      <c r="C230" s="398"/>
      <c r="D230" s="398"/>
      <c r="E230" s="398"/>
      <c r="F230" s="398"/>
      <c r="G230" s="398"/>
      <c r="H230" s="398"/>
      <c r="I230" s="398"/>
      <c r="J230" s="398"/>
      <c r="K230" s="399"/>
    </row>
    <row r="231" spans="1:34" ht="15.75" thickBot="1" x14ac:dyDescent="0.3"/>
    <row r="232" spans="1:34" ht="19.5" thickBot="1" x14ac:dyDescent="0.3">
      <c r="B232" s="177"/>
      <c r="C232" s="178"/>
      <c r="D232" s="178"/>
      <c r="E232" s="178"/>
      <c r="F232" s="421" t="s">
        <v>389</v>
      </c>
      <c r="G232" s="421"/>
      <c r="H232" s="421"/>
      <c r="I232" s="421" t="s">
        <v>390</v>
      </c>
      <c r="J232" s="421"/>
      <c r="K232" s="422"/>
    </row>
    <row r="233" spans="1:34" ht="19.5" thickBot="1" x14ac:dyDescent="0.3">
      <c r="B233" s="180" t="s">
        <v>262</v>
      </c>
      <c r="C233" s="179" t="s">
        <v>473</v>
      </c>
      <c r="D233" s="179" t="s">
        <v>267</v>
      </c>
      <c r="E233" s="179" t="s">
        <v>268</v>
      </c>
      <c r="F233" s="179" t="s">
        <v>473</v>
      </c>
      <c r="G233" s="179" t="s">
        <v>267</v>
      </c>
      <c r="H233" s="179" t="s">
        <v>268</v>
      </c>
      <c r="I233" s="179" t="s">
        <v>473</v>
      </c>
      <c r="J233" s="179" t="s">
        <v>267</v>
      </c>
      <c r="K233" s="181" t="s">
        <v>268</v>
      </c>
      <c r="N233" s="208" t="s">
        <v>262</v>
      </c>
      <c r="O233" s="209" t="s">
        <v>473</v>
      </c>
      <c r="P233" s="209" t="s">
        <v>267</v>
      </c>
      <c r="Q233" s="210" t="s">
        <v>268</v>
      </c>
    </row>
    <row r="234" spans="1:34" x14ac:dyDescent="0.25">
      <c r="B234" s="560" t="s">
        <v>313</v>
      </c>
      <c r="C234" s="301">
        <v>373</v>
      </c>
      <c r="D234" s="301">
        <v>91</v>
      </c>
      <c r="E234" s="302">
        <v>61</v>
      </c>
      <c r="F234" s="561">
        <f>+SUM(C234:C242)</f>
        <v>2439</v>
      </c>
      <c r="G234" s="582">
        <f>+SUM(D234:D242)</f>
        <v>559</v>
      </c>
      <c r="H234" s="576">
        <f>+SUM(E234:E242)</f>
        <v>727</v>
      </c>
      <c r="I234" s="579">
        <f>+AVERAGE(C234:C242)</f>
        <v>271</v>
      </c>
      <c r="J234" s="582">
        <f>+AVERAGE(D234:D242)</f>
        <v>62.111111111111114</v>
      </c>
      <c r="K234" s="576">
        <f>+AVERAGE(E234:E242)</f>
        <v>80.777777777777771</v>
      </c>
      <c r="N234" s="78" t="s">
        <v>313</v>
      </c>
      <c r="O234" s="98">
        <f>+AVERAGE(I234:I242)</f>
        <v>271</v>
      </c>
      <c r="P234" s="109">
        <f>+AVERAGE(J234:J242)</f>
        <v>62.111111111111114</v>
      </c>
      <c r="Q234" s="99">
        <f>+AVERAGE(K234:K242)</f>
        <v>80.777777777777771</v>
      </c>
    </row>
    <row r="235" spans="1:34" x14ac:dyDescent="0.25">
      <c r="B235" s="549"/>
      <c r="C235" s="303">
        <v>52</v>
      </c>
      <c r="D235" s="303">
        <v>22</v>
      </c>
      <c r="E235" s="304">
        <v>4</v>
      </c>
      <c r="F235" s="562"/>
      <c r="G235" s="583"/>
      <c r="H235" s="577"/>
      <c r="I235" s="580"/>
      <c r="J235" s="583"/>
      <c r="K235" s="577"/>
      <c r="N235" s="26" t="s">
        <v>362</v>
      </c>
      <c r="O235" s="100">
        <f>+AVERAGE(I243:I244)</f>
        <v>359.5</v>
      </c>
      <c r="P235" s="100">
        <f>+AVERAGE(J243:J244)</f>
        <v>82.5</v>
      </c>
      <c r="Q235" s="101">
        <f>+AVERAGE(K243:K244)</f>
        <v>63</v>
      </c>
    </row>
    <row r="236" spans="1:34" x14ac:dyDescent="0.25">
      <c r="B236" s="549"/>
      <c r="C236" s="297">
        <v>147</v>
      </c>
      <c r="D236" s="297">
        <v>26</v>
      </c>
      <c r="E236" s="298">
        <v>51</v>
      </c>
      <c r="F236" s="562"/>
      <c r="G236" s="583"/>
      <c r="H236" s="577"/>
      <c r="I236" s="580"/>
      <c r="J236" s="583"/>
      <c r="K236" s="577"/>
      <c r="N236" s="78" t="s">
        <v>283</v>
      </c>
      <c r="O236" s="98">
        <f>+AVERAGE(I245:I260)</f>
        <v>747</v>
      </c>
      <c r="P236" s="98">
        <f>+AVERAGE(J245:J260)</f>
        <v>57.6875</v>
      </c>
      <c r="Q236" s="99">
        <f>+AVERAGE(K245:K260)</f>
        <v>103.25</v>
      </c>
    </row>
    <row r="237" spans="1:34" x14ac:dyDescent="0.25">
      <c r="B237" s="549"/>
      <c r="C237" s="297">
        <v>205</v>
      </c>
      <c r="D237" s="297">
        <v>76</v>
      </c>
      <c r="E237" s="298">
        <v>47</v>
      </c>
      <c r="F237" s="562"/>
      <c r="G237" s="583"/>
      <c r="H237" s="577"/>
      <c r="I237" s="580"/>
      <c r="J237" s="583"/>
      <c r="K237" s="577"/>
      <c r="N237" s="26" t="s">
        <v>273</v>
      </c>
      <c r="O237" s="100">
        <f>+AVERAGE(I261:I266)</f>
        <v>231.33333333333334</v>
      </c>
      <c r="P237" s="100">
        <f>+AVERAGE(J261:J266)</f>
        <v>46.166666666666664</v>
      </c>
      <c r="Q237" s="101">
        <f>+AVERAGE(K261:K266)</f>
        <v>49.666666666666664</v>
      </c>
    </row>
    <row r="238" spans="1:34" ht="15.75" thickBot="1" x14ac:dyDescent="0.3">
      <c r="B238" s="549"/>
      <c r="C238" s="303">
        <v>204</v>
      </c>
      <c r="D238" s="303">
        <v>10</v>
      </c>
      <c r="E238" s="304">
        <v>66</v>
      </c>
      <c r="F238" s="562"/>
      <c r="G238" s="583"/>
      <c r="H238" s="577"/>
      <c r="I238" s="580"/>
      <c r="J238" s="583"/>
      <c r="K238" s="577"/>
      <c r="N238" s="80" t="s">
        <v>292</v>
      </c>
      <c r="O238" s="329">
        <f>+AVERAGE(I267:I293)</f>
        <v>1612.2222222222222</v>
      </c>
      <c r="P238" s="107">
        <f>+AVERAGE(J267:J293)</f>
        <v>107</v>
      </c>
      <c r="Q238" s="108">
        <f>+AVERAGE(K267:K293)</f>
        <v>582.14814814814815</v>
      </c>
    </row>
    <row r="239" spans="1:34" x14ac:dyDescent="0.25">
      <c r="B239" s="549"/>
      <c r="C239" s="303">
        <v>375</v>
      </c>
      <c r="D239" s="303">
        <v>78</v>
      </c>
      <c r="E239" s="304">
        <v>102</v>
      </c>
      <c r="F239" s="562"/>
      <c r="G239" s="583"/>
      <c r="H239" s="577"/>
      <c r="I239" s="580"/>
      <c r="J239" s="583"/>
      <c r="K239" s="577"/>
    </row>
    <row r="240" spans="1:34" x14ac:dyDescent="0.25">
      <c r="B240" s="549"/>
      <c r="C240" s="297">
        <v>664</v>
      </c>
      <c r="D240" s="297">
        <v>185</v>
      </c>
      <c r="E240" s="298">
        <v>306</v>
      </c>
      <c r="F240" s="562"/>
      <c r="G240" s="583"/>
      <c r="H240" s="577"/>
      <c r="I240" s="580"/>
      <c r="J240" s="583"/>
      <c r="K240" s="577"/>
    </row>
    <row r="241" spans="2:11" x14ac:dyDescent="0.25">
      <c r="B241" s="549"/>
      <c r="C241" s="303">
        <v>100</v>
      </c>
      <c r="D241" s="303">
        <v>32</v>
      </c>
      <c r="E241" s="304">
        <v>24</v>
      </c>
      <c r="F241" s="562"/>
      <c r="G241" s="583"/>
      <c r="H241" s="577"/>
      <c r="I241" s="580"/>
      <c r="J241" s="583"/>
      <c r="K241" s="577"/>
    </row>
    <row r="242" spans="2:11" x14ac:dyDescent="0.25">
      <c r="B242" s="550"/>
      <c r="C242" s="295">
        <v>319</v>
      </c>
      <c r="D242" s="295">
        <v>39</v>
      </c>
      <c r="E242" s="296">
        <v>66</v>
      </c>
      <c r="F242" s="563"/>
      <c r="G242" s="584"/>
      <c r="H242" s="578"/>
      <c r="I242" s="581"/>
      <c r="J242" s="584"/>
      <c r="K242" s="578"/>
    </row>
    <row r="243" spans="2:11" x14ac:dyDescent="0.25">
      <c r="B243" s="495" t="s">
        <v>362</v>
      </c>
      <c r="C243" s="190">
        <v>531</v>
      </c>
      <c r="D243" s="190">
        <v>146</v>
      </c>
      <c r="E243" s="310">
        <v>106</v>
      </c>
      <c r="F243" s="564">
        <f>+SUM(C243:C244)</f>
        <v>719</v>
      </c>
      <c r="G243" s="570">
        <f>+SUM(D243:D244)</f>
        <v>165</v>
      </c>
      <c r="H243" s="572">
        <f>+SUM(E243:E244)</f>
        <v>126</v>
      </c>
      <c r="I243" s="574">
        <f>+AVERAGE(C243:C244)</f>
        <v>359.5</v>
      </c>
      <c r="J243" s="570">
        <f>+AVERAGE(D243:D244)</f>
        <v>82.5</v>
      </c>
      <c r="K243" s="572">
        <f>+AVERAGE(E243:E244)</f>
        <v>63</v>
      </c>
    </row>
    <row r="244" spans="2:11" x14ac:dyDescent="0.25">
      <c r="B244" s="497"/>
      <c r="C244" s="188">
        <v>188</v>
      </c>
      <c r="D244" s="188">
        <v>19</v>
      </c>
      <c r="E244" s="308">
        <v>20</v>
      </c>
      <c r="F244" s="565"/>
      <c r="G244" s="571"/>
      <c r="H244" s="573"/>
      <c r="I244" s="575"/>
      <c r="J244" s="571"/>
      <c r="K244" s="573"/>
    </row>
    <row r="245" spans="2:11" x14ac:dyDescent="0.25">
      <c r="B245" s="548" t="s">
        <v>283</v>
      </c>
      <c r="C245" s="303">
        <v>1800</v>
      </c>
      <c r="D245" s="303">
        <v>46</v>
      </c>
      <c r="E245" s="304">
        <v>235</v>
      </c>
      <c r="F245" s="566">
        <f>+SUM(C245:C260)</f>
        <v>11952</v>
      </c>
      <c r="G245" s="585">
        <f>+SUM(D245:D260)</f>
        <v>923</v>
      </c>
      <c r="H245" s="586">
        <f>+SUM(E245:E260)</f>
        <v>1652</v>
      </c>
      <c r="I245" s="587">
        <f>+AVERAGE(C245:C260)</f>
        <v>747</v>
      </c>
      <c r="J245" s="585">
        <f>+AVERAGE(D245:D260)</f>
        <v>57.6875</v>
      </c>
      <c r="K245" s="586">
        <f>+AVERAGE(E245:E260)</f>
        <v>103.25</v>
      </c>
    </row>
    <row r="246" spans="2:11" x14ac:dyDescent="0.25">
      <c r="B246" s="549"/>
      <c r="C246" s="297">
        <v>1400</v>
      </c>
      <c r="D246" s="297">
        <v>59</v>
      </c>
      <c r="E246" s="298">
        <v>136</v>
      </c>
      <c r="F246" s="562"/>
      <c r="G246" s="583"/>
      <c r="H246" s="577"/>
      <c r="I246" s="580"/>
      <c r="J246" s="583"/>
      <c r="K246" s="577"/>
    </row>
    <row r="247" spans="2:11" x14ac:dyDescent="0.25">
      <c r="B247" s="549"/>
      <c r="C247" s="297">
        <v>702</v>
      </c>
      <c r="D247" s="297">
        <v>124</v>
      </c>
      <c r="E247" s="298">
        <v>48</v>
      </c>
      <c r="F247" s="562"/>
      <c r="G247" s="583"/>
      <c r="H247" s="577"/>
      <c r="I247" s="580"/>
      <c r="J247" s="583"/>
      <c r="K247" s="577"/>
    </row>
    <row r="248" spans="2:11" x14ac:dyDescent="0.25">
      <c r="B248" s="549"/>
      <c r="C248" s="303">
        <v>521</v>
      </c>
      <c r="D248" s="303">
        <v>53</v>
      </c>
      <c r="E248" s="304">
        <v>211</v>
      </c>
      <c r="F248" s="562"/>
      <c r="G248" s="583"/>
      <c r="H248" s="577"/>
      <c r="I248" s="580"/>
      <c r="J248" s="583"/>
      <c r="K248" s="577"/>
    </row>
    <row r="249" spans="2:11" x14ac:dyDescent="0.25">
      <c r="B249" s="549"/>
      <c r="C249" s="303">
        <v>1200</v>
      </c>
      <c r="D249" s="303">
        <v>116</v>
      </c>
      <c r="E249" s="304">
        <v>120</v>
      </c>
      <c r="F249" s="562"/>
      <c r="G249" s="583"/>
      <c r="H249" s="577"/>
      <c r="I249" s="580"/>
      <c r="J249" s="583"/>
      <c r="K249" s="577"/>
    </row>
    <row r="250" spans="2:11" x14ac:dyDescent="0.25">
      <c r="B250" s="549"/>
      <c r="C250" s="297">
        <v>1400</v>
      </c>
      <c r="D250" s="297">
        <v>83</v>
      </c>
      <c r="E250" s="298">
        <v>242</v>
      </c>
      <c r="F250" s="562"/>
      <c r="G250" s="583"/>
      <c r="H250" s="577"/>
      <c r="I250" s="580"/>
      <c r="J250" s="583"/>
      <c r="K250" s="577"/>
    </row>
    <row r="251" spans="2:11" x14ac:dyDescent="0.25">
      <c r="B251" s="549"/>
      <c r="C251" s="303">
        <v>345</v>
      </c>
      <c r="D251" s="303">
        <v>37</v>
      </c>
      <c r="E251" s="304">
        <v>36</v>
      </c>
      <c r="F251" s="562"/>
      <c r="G251" s="583"/>
      <c r="H251" s="577"/>
      <c r="I251" s="580"/>
      <c r="J251" s="583"/>
      <c r="K251" s="577"/>
    </row>
    <row r="252" spans="2:11" x14ac:dyDescent="0.25">
      <c r="B252" s="549"/>
      <c r="C252" s="297">
        <v>74</v>
      </c>
      <c r="D252" s="297">
        <v>28</v>
      </c>
      <c r="E252" s="298">
        <v>32</v>
      </c>
      <c r="F252" s="562"/>
      <c r="G252" s="583"/>
      <c r="H252" s="577"/>
      <c r="I252" s="580"/>
      <c r="J252" s="583"/>
      <c r="K252" s="577"/>
    </row>
    <row r="253" spans="2:11" x14ac:dyDescent="0.25">
      <c r="B253" s="549"/>
      <c r="C253" s="303">
        <v>638</v>
      </c>
      <c r="D253" s="303">
        <v>112</v>
      </c>
      <c r="E253" s="304">
        <v>168</v>
      </c>
      <c r="F253" s="562"/>
      <c r="G253" s="583"/>
      <c r="H253" s="577"/>
      <c r="I253" s="580"/>
      <c r="J253" s="583"/>
      <c r="K253" s="577"/>
    </row>
    <row r="254" spans="2:11" x14ac:dyDescent="0.25">
      <c r="B254" s="549"/>
      <c r="C254" s="295">
        <v>337</v>
      </c>
      <c r="D254" s="295">
        <v>22</v>
      </c>
      <c r="E254" s="296">
        <v>28</v>
      </c>
      <c r="F254" s="562"/>
      <c r="G254" s="583"/>
      <c r="H254" s="577"/>
      <c r="I254" s="580"/>
      <c r="J254" s="583"/>
      <c r="K254" s="577"/>
    </row>
    <row r="255" spans="2:11" x14ac:dyDescent="0.25">
      <c r="B255" s="549"/>
      <c r="C255" s="295">
        <v>128</v>
      </c>
      <c r="D255" s="295">
        <v>26</v>
      </c>
      <c r="E255" s="296">
        <v>24</v>
      </c>
      <c r="F255" s="562"/>
      <c r="G255" s="583"/>
      <c r="H255" s="577"/>
      <c r="I255" s="580"/>
      <c r="J255" s="583"/>
      <c r="K255" s="577"/>
    </row>
    <row r="256" spans="2:11" x14ac:dyDescent="0.25">
      <c r="B256" s="549"/>
      <c r="C256" s="297">
        <v>1300</v>
      </c>
      <c r="D256" s="297">
        <v>87</v>
      </c>
      <c r="E256" s="298">
        <v>228</v>
      </c>
      <c r="F256" s="562"/>
      <c r="G256" s="583"/>
      <c r="H256" s="577"/>
      <c r="I256" s="580"/>
      <c r="J256" s="583"/>
      <c r="K256" s="577"/>
    </row>
    <row r="257" spans="2:11" x14ac:dyDescent="0.25">
      <c r="B257" s="549"/>
      <c r="C257" s="303">
        <v>1600</v>
      </c>
      <c r="D257" s="303">
        <v>60</v>
      </c>
      <c r="E257" s="304">
        <v>61</v>
      </c>
      <c r="F257" s="562"/>
      <c r="G257" s="583"/>
      <c r="H257" s="577"/>
      <c r="I257" s="580"/>
      <c r="J257" s="583"/>
      <c r="K257" s="577"/>
    </row>
    <row r="258" spans="2:11" x14ac:dyDescent="0.25">
      <c r="B258" s="549"/>
      <c r="C258" s="303">
        <v>64</v>
      </c>
      <c r="D258" s="303">
        <v>30</v>
      </c>
      <c r="E258" s="304">
        <v>16</v>
      </c>
      <c r="F258" s="562"/>
      <c r="G258" s="583"/>
      <c r="H258" s="577"/>
      <c r="I258" s="580"/>
      <c r="J258" s="583"/>
      <c r="K258" s="577"/>
    </row>
    <row r="259" spans="2:11" x14ac:dyDescent="0.25">
      <c r="B259" s="549"/>
      <c r="C259" s="303">
        <v>189</v>
      </c>
      <c r="D259" s="303">
        <v>19</v>
      </c>
      <c r="E259" s="304">
        <v>20</v>
      </c>
      <c r="F259" s="562"/>
      <c r="G259" s="583"/>
      <c r="H259" s="577"/>
      <c r="I259" s="580"/>
      <c r="J259" s="583"/>
      <c r="K259" s="577"/>
    </row>
    <row r="260" spans="2:11" x14ac:dyDescent="0.25">
      <c r="B260" s="550"/>
      <c r="C260" s="297">
        <v>254</v>
      </c>
      <c r="D260" s="297">
        <v>21</v>
      </c>
      <c r="E260" s="298">
        <v>47</v>
      </c>
      <c r="F260" s="563"/>
      <c r="G260" s="584"/>
      <c r="H260" s="578"/>
      <c r="I260" s="581"/>
      <c r="J260" s="584"/>
      <c r="K260" s="578"/>
    </row>
    <row r="261" spans="2:11" x14ac:dyDescent="0.25">
      <c r="B261" s="551" t="s">
        <v>273</v>
      </c>
      <c r="C261" s="188">
        <v>91</v>
      </c>
      <c r="D261" s="188">
        <v>20</v>
      </c>
      <c r="E261" s="308">
        <v>14</v>
      </c>
      <c r="F261" s="567">
        <f>+SUM(C261:C266)</f>
        <v>1388</v>
      </c>
      <c r="G261" s="597">
        <f>+SUM(D261:D266)</f>
        <v>277</v>
      </c>
      <c r="H261" s="600">
        <f>+SUM(E261:E266)</f>
        <v>298</v>
      </c>
      <c r="I261" s="603">
        <f>+AVERAGE(C261:C266)</f>
        <v>231.33333333333334</v>
      </c>
      <c r="J261" s="597">
        <f>+AVERAGE(D261:D266)</f>
        <v>46.166666666666664</v>
      </c>
      <c r="K261" s="600">
        <f>+AVERAGE(E261:E266)</f>
        <v>49.666666666666664</v>
      </c>
    </row>
    <row r="262" spans="2:11" x14ac:dyDescent="0.25">
      <c r="B262" s="552"/>
      <c r="C262" s="192">
        <v>294</v>
      </c>
      <c r="D262" s="192">
        <v>36</v>
      </c>
      <c r="E262" s="309">
        <v>85</v>
      </c>
      <c r="F262" s="568"/>
      <c r="G262" s="598"/>
      <c r="H262" s="601"/>
      <c r="I262" s="604"/>
      <c r="J262" s="598"/>
      <c r="K262" s="601"/>
    </row>
    <row r="263" spans="2:11" x14ac:dyDescent="0.25">
      <c r="B263" s="552"/>
      <c r="C263" s="188">
        <v>582</v>
      </c>
      <c r="D263" s="188">
        <v>51</v>
      </c>
      <c r="E263" s="308">
        <v>90</v>
      </c>
      <c r="F263" s="568"/>
      <c r="G263" s="598"/>
      <c r="H263" s="601"/>
      <c r="I263" s="604"/>
      <c r="J263" s="598"/>
      <c r="K263" s="601"/>
    </row>
    <row r="264" spans="2:11" x14ac:dyDescent="0.25">
      <c r="B264" s="552"/>
      <c r="C264" s="188">
        <v>60</v>
      </c>
      <c r="D264" s="188">
        <v>29</v>
      </c>
      <c r="E264" s="308">
        <v>19</v>
      </c>
      <c r="F264" s="568"/>
      <c r="G264" s="598"/>
      <c r="H264" s="601"/>
      <c r="I264" s="604"/>
      <c r="J264" s="598"/>
      <c r="K264" s="601"/>
    </row>
    <row r="265" spans="2:11" x14ac:dyDescent="0.25">
      <c r="B265" s="552"/>
      <c r="C265" s="188">
        <v>188</v>
      </c>
      <c r="D265" s="188">
        <v>49</v>
      </c>
      <c r="E265" s="308">
        <v>45</v>
      </c>
      <c r="F265" s="568"/>
      <c r="G265" s="598"/>
      <c r="H265" s="601"/>
      <c r="I265" s="604"/>
      <c r="J265" s="598"/>
      <c r="K265" s="601"/>
    </row>
    <row r="266" spans="2:11" x14ac:dyDescent="0.25">
      <c r="B266" s="553"/>
      <c r="C266" s="192">
        <v>173</v>
      </c>
      <c r="D266" s="192">
        <v>92</v>
      </c>
      <c r="E266" s="309">
        <v>45</v>
      </c>
      <c r="F266" s="569"/>
      <c r="G266" s="599"/>
      <c r="H266" s="602"/>
      <c r="I266" s="605"/>
      <c r="J266" s="599"/>
      <c r="K266" s="602"/>
    </row>
    <row r="267" spans="2:11" x14ac:dyDescent="0.25">
      <c r="B267" s="554" t="s">
        <v>292</v>
      </c>
      <c r="C267" s="293">
        <v>129</v>
      </c>
      <c r="D267" s="293">
        <v>41</v>
      </c>
      <c r="E267" s="305">
        <v>42</v>
      </c>
      <c r="F267" s="606">
        <f>+SUM(C267:C293)</f>
        <v>43530</v>
      </c>
      <c r="G267" s="588">
        <f>+SUM(D267:D293)</f>
        <v>2889</v>
      </c>
      <c r="H267" s="591">
        <f>+SUM(E267:E293)</f>
        <v>15718</v>
      </c>
      <c r="I267" s="594">
        <f>+AVERAGE(C267:C293)</f>
        <v>1612.2222222222222</v>
      </c>
      <c r="J267" s="588">
        <f>+AVERAGE(D267:D293)</f>
        <v>107</v>
      </c>
      <c r="K267" s="591">
        <f>+AVERAGE(E267:E293)</f>
        <v>582.14814814814815</v>
      </c>
    </row>
    <row r="268" spans="2:11" x14ac:dyDescent="0.25">
      <c r="B268" s="555"/>
      <c r="C268" s="303">
        <v>585</v>
      </c>
      <c r="D268" s="303">
        <v>95</v>
      </c>
      <c r="E268" s="304">
        <v>163</v>
      </c>
      <c r="F268" s="607"/>
      <c r="G268" s="589"/>
      <c r="H268" s="592"/>
      <c r="I268" s="595"/>
      <c r="J268" s="589"/>
      <c r="K268" s="592"/>
    </row>
    <row r="269" spans="2:11" x14ac:dyDescent="0.25">
      <c r="B269" s="555"/>
      <c r="C269" s="297">
        <v>364</v>
      </c>
      <c r="D269" s="297">
        <v>67</v>
      </c>
      <c r="E269" s="298">
        <v>64</v>
      </c>
      <c r="F269" s="607"/>
      <c r="G269" s="589"/>
      <c r="H269" s="592"/>
      <c r="I269" s="595"/>
      <c r="J269" s="589"/>
      <c r="K269" s="592"/>
    </row>
    <row r="270" spans="2:11" x14ac:dyDescent="0.25">
      <c r="B270" s="555"/>
      <c r="C270" s="303">
        <v>101</v>
      </c>
      <c r="D270" s="303">
        <v>27</v>
      </c>
      <c r="E270" s="304">
        <v>37</v>
      </c>
      <c r="F270" s="607"/>
      <c r="G270" s="589"/>
      <c r="H270" s="592"/>
      <c r="I270" s="595"/>
      <c r="J270" s="589"/>
      <c r="K270" s="592"/>
    </row>
    <row r="271" spans="2:11" x14ac:dyDescent="0.25">
      <c r="B271" s="555"/>
      <c r="C271" s="297">
        <v>147</v>
      </c>
      <c r="D271" s="297">
        <v>48</v>
      </c>
      <c r="E271" s="298">
        <v>82</v>
      </c>
      <c r="F271" s="607"/>
      <c r="G271" s="589"/>
      <c r="H271" s="592"/>
      <c r="I271" s="595"/>
      <c r="J271" s="589"/>
      <c r="K271" s="592"/>
    </row>
    <row r="272" spans="2:11" x14ac:dyDescent="0.25">
      <c r="B272" s="555"/>
      <c r="C272" s="303">
        <v>97</v>
      </c>
      <c r="D272" s="303">
        <v>32</v>
      </c>
      <c r="E272" s="304">
        <v>18</v>
      </c>
      <c r="F272" s="607"/>
      <c r="G272" s="589"/>
      <c r="H272" s="592"/>
      <c r="I272" s="595"/>
      <c r="J272" s="589"/>
      <c r="K272" s="592"/>
    </row>
    <row r="273" spans="2:11" x14ac:dyDescent="0.25">
      <c r="B273" s="555"/>
      <c r="C273" s="303">
        <v>321</v>
      </c>
      <c r="D273" s="303">
        <v>26</v>
      </c>
      <c r="E273" s="304">
        <v>51</v>
      </c>
      <c r="F273" s="607"/>
      <c r="G273" s="589"/>
      <c r="H273" s="592"/>
      <c r="I273" s="595"/>
      <c r="J273" s="589"/>
      <c r="K273" s="592"/>
    </row>
    <row r="274" spans="2:11" x14ac:dyDescent="0.25">
      <c r="B274" s="555"/>
      <c r="C274" s="295">
        <v>11000</v>
      </c>
      <c r="D274" s="295">
        <v>843</v>
      </c>
      <c r="E274" s="296">
        <v>5358</v>
      </c>
      <c r="F274" s="607"/>
      <c r="G274" s="589"/>
      <c r="H274" s="592"/>
      <c r="I274" s="595"/>
      <c r="J274" s="589"/>
      <c r="K274" s="592"/>
    </row>
    <row r="275" spans="2:11" x14ac:dyDescent="0.25">
      <c r="B275" s="555"/>
      <c r="C275" s="303">
        <v>531</v>
      </c>
      <c r="D275" s="303">
        <v>24</v>
      </c>
      <c r="E275" s="304">
        <v>136</v>
      </c>
      <c r="F275" s="607"/>
      <c r="G275" s="589"/>
      <c r="H275" s="592"/>
      <c r="I275" s="595"/>
      <c r="J275" s="589"/>
      <c r="K275" s="592"/>
    </row>
    <row r="276" spans="2:11" x14ac:dyDescent="0.25">
      <c r="B276" s="555"/>
      <c r="C276" s="303">
        <v>102</v>
      </c>
      <c r="D276" s="303">
        <v>39</v>
      </c>
      <c r="E276" s="304">
        <v>30</v>
      </c>
      <c r="F276" s="607"/>
      <c r="G276" s="589"/>
      <c r="H276" s="592"/>
      <c r="I276" s="595"/>
      <c r="J276" s="589"/>
      <c r="K276" s="592"/>
    </row>
    <row r="277" spans="2:11" x14ac:dyDescent="0.25">
      <c r="B277" s="555"/>
      <c r="C277" s="297">
        <v>708</v>
      </c>
      <c r="D277" s="297">
        <v>32</v>
      </c>
      <c r="E277" s="298">
        <v>83</v>
      </c>
      <c r="F277" s="607"/>
      <c r="G277" s="589"/>
      <c r="H277" s="592"/>
      <c r="I277" s="595"/>
      <c r="J277" s="589"/>
      <c r="K277" s="592"/>
    </row>
    <row r="278" spans="2:11" x14ac:dyDescent="0.25">
      <c r="B278" s="555"/>
      <c r="C278" s="297">
        <v>62</v>
      </c>
      <c r="D278" s="297">
        <v>26</v>
      </c>
      <c r="E278" s="298">
        <v>12</v>
      </c>
      <c r="F278" s="607"/>
      <c r="G278" s="589"/>
      <c r="H278" s="592"/>
      <c r="I278" s="595"/>
      <c r="J278" s="589"/>
      <c r="K278" s="592"/>
    </row>
    <row r="279" spans="2:11" x14ac:dyDescent="0.25">
      <c r="B279" s="555"/>
      <c r="C279" s="297">
        <v>71</v>
      </c>
      <c r="D279" s="297">
        <v>29</v>
      </c>
      <c r="E279" s="298">
        <v>12</v>
      </c>
      <c r="F279" s="607"/>
      <c r="G279" s="589"/>
      <c r="H279" s="592"/>
      <c r="I279" s="595"/>
      <c r="J279" s="589"/>
      <c r="K279" s="592"/>
    </row>
    <row r="280" spans="2:11" x14ac:dyDescent="0.25">
      <c r="B280" s="555"/>
      <c r="C280" s="303">
        <v>617</v>
      </c>
      <c r="D280" s="303">
        <v>111</v>
      </c>
      <c r="E280" s="304">
        <v>95</v>
      </c>
      <c r="F280" s="607"/>
      <c r="G280" s="589"/>
      <c r="H280" s="592"/>
      <c r="I280" s="595"/>
      <c r="J280" s="589"/>
      <c r="K280" s="592"/>
    </row>
    <row r="281" spans="2:11" x14ac:dyDescent="0.25">
      <c r="B281" s="555"/>
      <c r="C281" s="297">
        <v>24488</v>
      </c>
      <c r="D281" s="297">
        <v>886</v>
      </c>
      <c r="E281" s="298">
        <v>8634</v>
      </c>
      <c r="F281" s="607"/>
      <c r="G281" s="589"/>
      <c r="H281" s="592"/>
      <c r="I281" s="595"/>
      <c r="J281" s="589"/>
      <c r="K281" s="592"/>
    </row>
    <row r="282" spans="2:11" x14ac:dyDescent="0.25">
      <c r="B282" s="555"/>
      <c r="C282" s="295">
        <v>132</v>
      </c>
      <c r="D282" s="295">
        <v>22</v>
      </c>
      <c r="E282" s="296">
        <v>50</v>
      </c>
      <c r="F282" s="607"/>
      <c r="G282" s="589"/>
      <c r="H282" s="592"/>
      <c r="I282" s="595"/>
      <c r="J282" s="589"/>
      <c r="K282" s="592"/>
    </row>
    <row r="283" spans="2:11" x14ac:dyDescent="0.25">
      <c r="B283" s="555"/>
      <c r="C283" s="295">
        <v>84</v>
      </c>
      <c r="D283" s="295">
        <v>20</v>
      </c>
      <c r="E283" s="296">
        <v>21</v>
      </c>
      <c r="F283" s="607"/>
      <c r="G283" s="589"/>
      <c r="H283" s="592"/>
      <c r="I283" s="595"/>
      <c r="J283" s="589"/>
      <c r="K283" s="592"/>
    </row>
    <row r="284" spans="2:11" x14ac:dyDescent="0.25">
      <c r="B284" s="555"/>
      <c r="C284" s="295">
        <v>183</v>
      </c>
      <c r="D284" s="295">
        <v>30</v>
      </c>
      <c r="E284" s="296">
        <v>66</v>
      </c>
      <c r="F284" s="607"/>
      <c r="G284" s="589"/>
      <c r="H284" s="592"/>
      <c r="I284" s="595"/>
      <c r="J284" s="589"/>
      <c r="K284" s="592"/>
    </row>
    <row r="285" spans="2:11" x14ac:dyDescent="0.25">
      <c r="B285" s="555"/>
      <c r="C285" s="303">
        <v>197</v>
      </c>
      <c r="D285" s="303">
        <v>34</v>
      </c>
      <c r="E285" s="304">
        <v>28</v>
      </c>
      <c r="F285" s="607"/>
      <c r="G285" s="589"/>
      <c r="H285" s="592"/>
      <c r="I285" s="595"/>
      <c r="J285" s="589"/>
      <c r="K285" s="592"/>
    </row>
    <row r="286" spans="2:11" x14ac:dyDescent="0.25">
      <c r="B286" s="555"/>
      <c r="C286" s="303">
        <v>183</v>
      </c>
      <c r="D286" s="303">
        <v>43</v>
      </c>
      <c r="E286" s="304">
        <v>36</v>
      </c>
      <c r="F286" s="607"/>
      <c r="G286" s="589"/>
      <c r="H286" s="592"/>
      <c r="I286" s="595"/>
      <c r="J286" s="589"/>
      <c r="K286" s="592"/>
    </row>
    <row r="287" spans="2:11" x14ac:dyDescent="0.25">
      <c r="B287" s="555"/>
      <c r="C287" s="303">
        <v>123</v>
      </c>
      <c r="D287" s="303">
        <v>22</v>
      </c>
      <c r="E287" s="304">
        <v>17</v>
      </c>
      <c r="F287" s="607"/>
      <c r="G287" s="589"/>
      <c r="H287" s="592"/>
      <c r="I287" s="595"/>
      <c r="J287" s="589"/>
      <c r="K287" s="592"/>
    </row>
    <row r="288" spans="2:11" x14ac:dyDescent="0.25">
      <c r="B288" s="555"/>
      <c r="C288" s="297">
        <v>432</v>
      </c>
      <c r="D288" s="297">
        <v>83</v>
      </c>
      <c r="E288" s="298">
        <v>121</v>
      </c>
      <c r="F288" s="607"/>
      <c r="G288" s="589"/>
      <c r="H288" s="592"/>
      <c r="I288" s="595"/>
      <c r="J288" s="589"/>
      <c r="K288" s="592"/>
    </row>
    <row r="289" spans="2:11" x14ac:dyDescent="0.25">
      <c r="B289" s="555"/>
      <c r="C289" s="297">
        <v>280</v>
      </c>
      <c r="D289" s="297">
        <v>64</v>
      </c>
      <c r="E289" s="298">
        <v>61</v>
      </c>
      <c r="F289" s="607"/>
      <c r="G289" s="589"/>
      <c r="H289" s="592"/>
      <c r="I289" s="595"/>
      <c r="J289" s="589"/>
      <c r="K289" s="592"/>
    </row>
    <row r="290" spans="2:11" x14ac:dyDescent="0.25">
      <c r="B290" s="555"/>
      <c r="C290" s="297">
        <v>1900</v>
      </c>
      <c r="D290" s="297">
        <v>81</v>
      </c>
      <c r="E290" s="298">
        <v>336</v>
      </c>
      <c r="F290" s="607"/>
      <c r="G290" s="589"/>
      <c r="H290" s="592"/>
      <c r="I290" s="595"/>
      <c r="J290" s="589"/>
      <c r="K290" s="592"/>
    </row>
    <row r="291" spans="2:11" x14ac:dyDescent="0.25">
      <c r="B291" s="555"/>
      <c r="C291" s="297">
        <v>136</v>
      </c>
      <c r="D291" s="297">
        <v>45</v>
      </c>
      <c r="E291" s="298">
        <v>24</v>
      </c>
      <c r="F291" s="607"/>
      <c r="G291" s="589"/>
      <c r="H291" s="592"/>
      <c r="I291" s="595"/>
      <c r="J291" s="589"/>
      <c r="K291" s="592"/>
    </row>
    <row r="292" spans="2:11" x14ac:dyDescent="0.25">
      <c r="B292" s="555"/>
      <c r="C292" s="303">
        <v>178</v>
      </c>
      <c r="D292" s="303">
        <v>68</v>
      </c>
      <c r="E292" s="304">
        <v>79</v>
      </c>
      <c r="F292" s="607"/>
      <c r="G292" s="589"/>
      <c r="H292" s="592"/>
      <c r="I292" s="595"/>
      <c r="J292" s="589"/>
      <c r="K292" s="592"/>
    </row>
    <row r="293" spans="2:11" ht="15.75" thickBot="1" x14ac:dyDescent="0.3">
      <c r="B293" s="556"/>
      <c r="C293" s="306">
        <v>379</v>
      </c>
      <c r="D293" s="306">
        <v>51</v>
      </c>
      <c r="E293" s="307">
        <v>62</v>
      </c>
      <c r="F293" s="608"/>
      <c r="G293" s="590"/>
      <c r="H293" s="593"/>
      <c r="I293" s="596"/>
      <c r="J293" s="590"/>
      <c r="K293" s="593"/>
    </row>
    <row r="298" spans="2:11" s="15" customFormat="1" x14ac:dyDescent="0.25">
      <c r="B298" s="16"/>
      <c r="F298" s="16"/>
      <c r="G298" s="16"/>
      <c r="H298" s="16"/>
      <c r="I298" s="16"/>
      <c r="J298" s="16"/>
      <c r="K298" s="16"/>
    </row>
    <row r="299" spans="2:11" x14ac:dyDescent="0.25">
      <c r="E299" s="10"/>
      <c r="F299" s="10"/>
      <c r="G299" s="10"/>
      <c r="K299" s="10"/>
    </row>
    <row r="300" spans="2:11" ht="15.75" thickBot="1" x14ac:dyDescent="0.3">
      <c r="E300" s="10"/>
      <c r="F300" s="10"/>
      <c r="G300" s="10"/>
      <c r="K300" s="10"/>
    </row>
    <row r="301" spans="2:11" ht="27" thickBot="1" x14ac:dyDescent="0.45">
      <c r="B301" s="394" t="s">
        <v>397</v>
      </c>
      <c r="C301" s="395"/>
      <c r="D301" s="395"/>
      <c r="E301" s="395"/>
      <c r="F301" s="395"/>
      <c r="G301" s="395"/>
      <c r="H301" s="395"/>
      <c r="I301" s="396"/>
    </row>
    <row r="302" spans="2:11" ht="21.75" thickBot="1" x14ac:dyDescent="0.4">
      <c r="B302" s="397" t="s">
        <v>467</v>
      </c>
      <c r="C302" s="398"/>
      <c r="D302" s="398"/>
      <c r="E302" s="398"/>
      <c r="F302" s="398"/>
      <c r="G302" s="398"/>
      <c r="H302" s="398"/>
      <c r="I302" s="399"/>
    </row>
    <row r="303" spans="2:11" x14ac:dyDescent="0.25">
      <c r="B303" s="129"/>
      <c r="C303" s="24"/>
      <c r="D303" s="24"/>
      <c r="E303" s="24"/>
      <c r="F303" s="129"/>
      <c r="G303" s="129"/>
      <c r="H303" s="129"/>
      <c r="I303" s="129"/>
      <c r="J303" s="10"/>
      <c r="K303" s="10"/>
    </row>
    <row r="304" spans="2:11" ht="15.75" thickBot="1" x14ac:dyDescent="0.3">
      <c r="B304" s="129"/>
      <c r="C304" s="24"/>
      <c r="D304" s="24"/>
      <c r="E304" s="24"/>
      <c r="F304" s="129"/>
      <c r="G304" s="129"/>
      <c r="H304" s="129"/>
      <c r="I304" s="129"/>
      <c r="J304" s="10"/>
      <c r="K304" s="10"/>
    </row>
    <row r="305" spans="2:12" ht="15" customHeight="1" x14ac:dyDescent="0.25">
      <c r="B305" s="130"/>
      <c r="C305" s="131"/>
      <c r="D305" s="418" t="s">
        <v>436</v>
      </c>
      <c r="E305" s="418"/>
      <c r="F305" s="418"/>
      <c r="G305" s="419" t="s">
        <v>390</v>
      </c>
      <c r="H305" s="419"/>
      <c r="I305" s="420"/>
    </row>
    <row r="306" spans="2:12" ht="18.75" x14ac:dyDescent="0.25">
      <c r="B306" s="70" t="s">
        <v>262</v>
      </c>
      <c r="C306" s="71" t="s">
        <v>435</v>
      </c>
      <c r="D306" s="96" t="s">
        <v>473</v>
      </c>
      <c r="E306" s="96" t="s">
        <v>267</v>
      </c>
      <c r="F306" s="96" t="s">
        <v>268</v>
      </c>
      <c r="G306" s="71" t="s">
        <v>473</v>
      </c>
      <c r="H306" s="71" t="s">
        <v>267</v>
      </c>
      <c r="I306" s="72" t="s">
        <v>268</v>
      </c>
    </row>
    <row r="307" spans="2:12" x14ac:dyDescent="0.25">
      <c r="B307" s="78" t="s">
        <v>315</v>
      </c>
      <c r="C307" s="79">
        <v>4</v>
      </c>
      <c r="D307" s="83">
        <f>+F13+F83+F165+0</f>
        <v>3469</v>
      </c>
      <c r="E307" s="79">
        <f>+G13+G83+G165+0</f>
        <v>607</v>
      </c>
      <c r="F307" s="79">
        <f>+H13+H83+H165+0</f>
        <v>625</v>
      </c>
      <c r="G307" s="98">
        <f>+D307/$C$307</f>
        <v>867.25</v>
      </c>
      <c r="H307" s="98">
        <f>+E307/$C$307</f>
        <v>151.75</v>
      </c>
      <c r="I307" s="99">
        <f>+F307/$C$307</f>
        <v>156.25</v>
      </c>
      <c r="J307" s="10"/>
      <c r="K307" s="10"/>
      <c r="L307" s="10"/>
    </row>
    <row r="308" spans="2:12" x14ac:dyDescent="0.25">
      <c r="B308" s="26" t="s">
        <v>293</v>
      </c>
      <c r="C308" s="32">
        <v>42</v>
      </c>
      <c r="D308" s="32">
        <f>+F15+F84+F166+F234</f>
        <v>18677</v>
      </c>
      <c r="E308" s="32">
        <f>+G15+G84+G166+G234</f>
        <v>3303</v>
      </c>
      <c r="F308" s="32">
        <f>+H15+H84+H166+H234</f>
        <v>5215</v>
      </c>
      <c r="G308" s="100">
        <f>+D308/$C308</f>
        <v>444.6904761904762</v>
      </c>
      <c r="H308" s="100">
        <f>+E308/$C308</f>
        <v>78.642857142857139</v>
      </c>
      <c r="I308" s="101">
        <f>+F308/$C308</f>
        <v>124.16666666666667</v>
      </c>
      <c r="J308" s="10"/>
      <c r="K308" s="10"/>
      <c r="L308" s="10"/>
    </row>
    <row r="309" spans="2:12" x14ac:dyDescent="0.25">
      <c r="B309" s="78" t="s">
        <v>362</v>
      </c>
      <c r="C309" s="79">
        <v>8</v>
      </c>
      <c r="D309" s="79">
        <f>+F28+0+F180+F243</f>
        <v>12321</v>
      </c>
      <c r="E309" s="79">
        <f>+G28+0+G180+G243</f>
        <v>1022</v>
      </c>
      <c r="F309" s="79">
        <f>+H28+0+H180+H243</f>
        <v>1875</v>
      </c>
      <c r="G309" s="98">
        <f t="shared" ref="G309:I312" si="0">+D309/$C309</f>
        <v>1540.125</v>
      </c>
      <c r="H309" s="98">
        <f t="shared" si="0"/>
        <v>127.75</v>
      </c>
      <c r="I309" s="99">
        <f t="shared" si="0"/>
        <v>234.375</v>
      </c>
      <c r="J309" s="10"/>
      <c r="K309" s="10"/>
      <c r="L309" s="10"/>
    </row>
    <row r="310" spans="2:12" x14ac:dyDescent="0.25">
      <c r="B310" s="26" t="s">
        <v>283</v>
      </c>
      <c r="C310" s="32">
        <v>62</v>
      </c>
      <c r="D310" s="32">
        <f>+F33+F90+F181+F245</f>
        <v>91788</v>
      </c>
      <c r="E310" s="32">
        <f>+G33+G90+G181+G245</f>
        <v>4330</v>
      </c>
      <c r="F310" s="32">
        <f>+H33+H90+H181+H245</f>
        <v>15164</v>
      </c>
      <c r="G310" s="100">
        <f t="shared" si="0"/>
        <v>1480.4516129032259</v>
      </c>
      <c r="H310" s="100">
        <f t="shared" si="0"/>
        <v>69.838709677419359</v>
      </c>
      <c r="I310" s="101">
        <f t="shared" si="0"/>
        <v>244.58064516129033</v>
      </c>
      <c r="J310" s="10"/>
      <c r="K310" s="10"/>
      <c r="L310" s="10"/>
    </row>
    <row r="311" spans="2:12" x14ac:dyDescent="0.25">
      <c r="B311" s="78" t="s">
        <v>273</v>
      </c>
      <c r="C311" s="97">
        <v>16</v>
      </c>
      <c r="D311" s="79">
        <f>+F46+F109+F195+F261</f>
        <v>4272</v>
      </c>
      <c r="E311" s="79">
        <f>+G46+G109+G195+G261</f>
        <v>905</v>
      </c>
      <c r="F311" s="79">
        <f>+H46+H109+H195+H261</f>
        <v>864</v>
      </c>
      <c r="G311" s="98">
        <f t="shared" si="0"/>
        <v>267</v>
      </c>
      <c r="H311" s="98">
        <f t="shared" si="0"/>
        <v>56.5625</v>
      </c>
      <c r="I311" s="99">
        <f t="shared" si="0"/>
        <v>54</v>
      </c>
      <c r="J311" s="10"/>
      <c r="K311" s="10"/>
      <c r="L311" s="10"/>
    </row>
    <row r="312" spans="2:12" ht="15.75" thickBot="1" x14ac:dyDescent="0.3">
      <c r="B312" s="27" t="s">
        <v>292</v>
      </c>
      <c r="C312" s="33">
        <v>120</v>
      </c>
      <c r="D312" s="33">
        <f>+F48+F113+F199+F267</f>
        <v>105964</v>
      </c>
      <c r="E312" s="33">
        <f>+G48+G113+G199+G267</f>
        <v>8701</v>
      </c>
      <c r="F312" s="33">
        <f>+H48+H113+H199+H267</f>
        <v>29228</v>
      </c>
      <c r="G312" s="102">
        <f t="shared" si="0"/>
        <v>883.0333333333333</v>
      </c>
      <c r="H312" s="102">
        <f t="shared" si="0"/>
        <v>72.50833333333334</v>
      </c>
      <c r="I312" s="103">
        <f t="shared" si="0"/>
        <v>243.56666666666666</v>
      </c>
      <c r="J312" s="10"/>
      <c r="K312" s="10"/>
      <c r="L312" s="10"/>
    </row>
    <row r="313" spans="2:12" x14ac:dyDescent="0.25">
      <c r="F313" s="10"/>
      <c r="G313" s="10"/>
      <c r="H313" s="10"/>
      <c r="I313" s="10"/>
      <c r="J313" s="10"/>
      <c r="K313" s="10"/>
      <c r="L313" s="10"/>
    </row>
    <row r="314" spans="2:12" x14ac:dyDescent="0.25">
      <c r="F314" s="10"/>
      <c r="G314" s="10"/>
      <c r="H314" s="10"/>
      <c r="I314" s="10"/>
      <c r="J314" s="10"/>
      <c r="K314" s="10"/>
      <c r="L314" s="10"/>
    </row>
    <row r="315" spans="2:12" x14ac:dyDescent="0.25">
      <c r="F315" s="10"/>
      <c r="G315" s="10"/>
      <c r="H315" s="10"/>
      <c r="I315" s="10"/>
      <c r="J315" s="10"/>
      <c r="K315" s="10"/>
      <c r="L315" s="10"/>
    </row>
    <row r="316" spans="2:12" x14ac:dyDescent="0.25">
      <c r="F316" s="10"/>
      <c r="G316" s="10"/>
      <c r="H316" s="10"/>
      <c r="I316" s="10"/>
      <c r="J316" s="10"/>
      <c r="K316" s="10"/>
      <c r="L316" s="10"/>
    </row>
    <row r="317" spans="2:12" x14ac:dyDescent="0.25">
      <c r="J317" s="10"/>
      <c r="K317" s="10"/>
      <c r="L317" s="10"/>
    </row>
    <row r="318" spans="2:12" x14ac:dyDescent="0.25">
      <c r="J318" s="10"/>
      <c r="K318" s="10"/>
      <c r="L318" s="10"/>
    </row>
    <row r="319" spans="2:12" ht="14.25" customHeight="1" x14ac:dyDescent="0.25">
      <c r="J319" s="10"/>
      <c r="K319" s="10"/>
      <c r="L319" s="10"/>
    </row>
    <row r="320" spans="2:12" x14ac:dyDescent="0.25">
      <c r="J320" s="10"/>
      <c r="K320" s="10"/>
      <c r="L320" s="10"/>
    </row>
    <row r="321" spans="1:12" ht="15.75" thickBot="1" x14ac:dyDescent="0.3">
      <c r="J321" s="10"/>
      <c r="K321" s="10"/>
      <c r="L321" s="10"/>
    </row>
    <row r="322" spans="1:12" ht="27" thickBot="1" x14ac:dyDescent="0.45">
      <c r="B322" s="394" t="s">
        <v>397</v>
      </c>
      <c r="C322" s="395"/>
      <c r="D322" s="395"/>
      <c r="E322" s="395"/>
      <c r="F322" s="395"/>
      <c r="G322" s="395"/>
      <c r="H322" s="395"/>
      <c r="I322" s="396"/>
      <c r="J322" s="10"/>
      <c r="K322" s="10"/>
      <c r="L322" s="10"/>
    </row>
    <row r="323" spans="1:12" ht="21.75" thickBot="1" x14ac:dyDescent="0.4">
      <c r="B323" s="397" t="s">
        <v>467</v>
      </c>
      <c r="C323" s="398"/>
      <c r="D323" s="398"/>
      <c r="E323" s="398"/>
      <c r="F323" s="398"/>
      <c r="G323" s="398"/>
      <c r="H323" s="398"/>
      <c r="I323" s="399"/>
      <c r="J323" s="10"/>
      <c r="K323" s="10"/>
      <c r="L323" s="10"/>
    </row>
    <row r="324" spans="1:12" x14ac:dyDescent="0.25">
      <c r="B324" s="129"/>
      <c r="C324" s="24"/>
      <c r="D324" s="24"/>
      <c r="E324" s="24"/>
      <c r="F324" s="129"/>
      <c r="G324" s="129"/>
      <c r="H324" s="129"/>
      <c r="I324" s="129"/>
      <c r="J324" s="10"/>
      <c r="K324" s="10"/>
      <c r="L324" s="10"/>
    </row>
    <row r="325" spans="1:12" ht="15.75" thickBot="1" x14ac:dyDescent="0.3">
      <c r="B325" s="129"/>
      <c r="C325" s="24"/>
      <c r="D325" s="24"/>
      <c r="E325" s="24"/>
      <c r="F325" s="129"/>
      <c r="G325" s="129"/>
      <c r="H325" s="129"/>
      <c r="I325" s="129"/>
      <c r="J325" s="10"/>
      <c r="K325" s="10"/>
      <c r="L325" s="10"/>
    </row>
    <row r="326" spans="1:12" ht="18.75" x14ac:dyDescent="0.25">
      <c r="B326" s="130"/>
      <c r="C326" s="131"/>
      <c r="D326" s="418" t="s">
        <v>436</v>
      </c>
      <c r="E326" s="418"/>
      <c r="F326" s="418"/>
      <c r="G326" s="419" t="s">
        <v>390</v>
      </c>
      <c r="H326" s="419"/>
      <c r="I326" s="420"/>
      <c r="J326" s="10"/>
      <c r="K326" s="10"/>
      <c r="L326" s="10"/>
    </row>
    <row r="327" spans="1:12" ht="18.75" x14ac:dyDescent="0.25">
      <c r="B327" s="70" t="s">
        <v>262</v>
      </c>
      <c r="C327" s="71" t="s">
        <v>435</v>
      </c>
      <c r="D327" s="96" t="s">
        <v>473</v>
      </c>
      <c r="E327" s="96" t="s">
        <v>267</v>
      </c>
      <c r="F327" s="96" t="s">
        <v>268</v>
      </c>
      <c r="G327" s="71" t="s">
        <v>473</v>
      </c>
      <c r="H327" s="71" t="s">
        <v>267</v>
      </c>
      <c r="I327" s="72" t="s">
        <v>268</v>
      </c>
      <c r="J327" s="10"/>
      <c r="K327" s="10"/>
      <c r="L327" s="10"/>
    </row>
    <row r="328" spans="1:12" x14ac:dyDescent="0.25">
      <c r="B328" s="78" t="s">
        <v>315</v>
      </c>
      <c r="C328" s="79">
        <v>4</v>
      </c>
      <c r="D328" s="83">
        <v>3469</v>
      </c>
      <c r="E328" s="79">
        <f>607-342</f>
        <v>265</v>
      </c>
      <c r="F328" s="79">
        <v>625</v>
      </c>
      <c r="G328" s="98">
        <f>+D328/$C$307</f>
        <v>867.25</v>
      </c>
      <c r="H328" s="376">
        <f>+E328/$C$307</f>
        <v>66.25</v>
      </c>
      <c r="I328" s="99">
        <f>+F328/$C$307</f>
        <v>156.25</v>
      </c>
      <c r="J328" s="10"/>
      <c r="K328" s="10"/>
      <c r="L328" s="10"/>
    </row>
    <row r="329" spans="1:12" x14ac:dyDescent="0.25">
      <c r="A329" s="7"/>
      <c r="B329" s="26" t="s">
        <v>293</v>
      </c>
      <c r="C329" s="32">
        <v>42</v>
      </c>
      <c r="D329" s="32">
        <v>18677</v>
      </c>
      <c r="E329" s="32">
        <v>3303</v>
      </c>
      <c r="F329" s="32">
        <v>5215</v>
      </c>
      <c r="G329" s="100">
        <f t="shared" ref="G329:I333" si="1">+D329/$C329</f>
        <v>444.6904761904762</v>
      </c>
      <c r="H329" s="100">
        <f t="shared" si="1"/>
        <v>78.642857142857139</v>
      </c>
      <c r="I329" s="101">
        <f t="shared" si="1"/>
        <v>124.16666666666667</v>
      </c>
      <c r="J329" s="10"/>
      <c r="K329" s="10"/>
      <c r="L329" s="10"/>
    </row>
    <row r="330" spans="1:12" x14ac:dyDescent="0.25">
      <c r="B330" s="78" t="s">
        <v>362</v>
      </c>
      <c r="C330" s="79">
        <v>8</v>
      </c>
      <c r="D330" s="79">
        <v>12321</v>
      </c>
      <c r="E330" s="79">
        <v>1022</v>
      </c>
      <c r="F330" s="79">
        <v>1875</v>
      </c>
      <c r="G330" s="98">
        <f t="shared" si="1"/>
        <v>1540.125</v>
      </c>
      <c r="H330" s="98">
        <f t="shared" si="1"/>
        <v>127.75</v>
      </c>
      <c r="I330" s="99">
        <f t="shared" si="1"/>
        <v>234.375</v>
      </c>
      <c r="J330" s="10"/>
      <c r="K330" s="10"/>
      <c r="L330" s="10"/>
    </row>
    <row r="331" spans="1:12" x14ac:dyDescent="0.25">
      <c r="B331" s="26" t="s">
        <v>283</v>
      </c>
      <c r="C331" s="32">
        <v>62</v>
      </c>
      <c r="D331" s="32">
        <v>91788</v>
      </c>
      <c r="E331" s="32">
        <v>4330</v>
      </c>
      <c r="F331" s="32">
        <v>15164</v>
      </c>
      <c r="G331" s="100">
        <f t="shared" si="1"/>
        <v>1480.4516129032259</v>
      </c>
      <c r="H331" s="100">
        <f t="shared" si="1"/>
        <v>69.838709677419359</v>
      </c>
      <c r="I331" s="101">
        <f t="shared" si="1"/>
        <v>244.58064516129033</v>
      </c>
      <c r="J331" s="10"/>
      <c r="K331" s="10"/>
      <c r="L331" s="10"/>
    </row>
    <row r="332" spans="1:12" x14ac:dyDescent="0.25">
      <c r="B332" s="78" t="s">
        <v>273</v>
      </c>
      <c r="C332" s="97">
        <v>16</v>
      </c>
      <c r="D332" s="79">
        <v>4272</v>
      </c>
      <c r="E332" s="79">
        <v>905</v>
      </c>
      <c r="F332" s="79">
        <v>864</v>
      </c>
      <c r="G332" s="98">
        <f t="shared" si="1"/>
        <v>267</v>
      </c>
      <c r="H332" s="98">
        <f t="shared" si="1"/>
        <v>56.5625</v>
      </c>
      <c r="I332" s="99">
        <f t="shared" si="1"/>
        <v>54</v>
      </c>
      <c r="J332" s="10"/>
      <c r="K332" s="10"/>
      <c r="L332" s="10"/>
    </row>
    <row r="333" spans="1:12" ht="15.75" thickBot="1" x14ac:dyDescent="0.3">
      <c r="B333" s="27" t="s">
        <v>292</v>
      </c>
      <c r="C333" s="33">
        <v>120</v>
      </c>
      <c r="D333" s="33">
        <v>105964</v>
      </c>
      <c r="E333" s="33">
        <v>8701</v>
      </c>
      <c r="F333" s="33">
        <v>29228</v>
      </c>
      <c r="G333" s="102">
        <f t="shared" si="1"/>
        <v>883.0333333333333</v>
      </c>
      <c r="H333" s="102">
        <f t="shared" si="1"/>
        <v>72.50833333333334</v>
      </c>
      <c r="I333" s="103">
        <f t="shared" si="1"/>
        <v>243.56666666666666</v>
      </c>
      <c r="J333" s="10"/>
      <c r="K333" s="10"/>
      <c r="L333" s="10"/>
    </row>
    <row r="334" spans="1:12" x14ac:dyDescent="0.25">
      <c r="B334" s="374" t="s">
        <v>510</v>
      </c>
      <c r="F334" s="10"/>
      <c r="G334" s="10"/>
      <c r="H334" s="10"/>
      <c r="I334" s="10"/>
      <c r="J334" s="10"/>
      <c r="K334" s="10"/>
      <c r="L334" s="10"/>
    </row>
    <row r="335" spans="1:12" x14ac:dyDescent="0.25">
      <c r="F335" s="10"/>
      <c r="G335" s="10"/>
      <c r="H335" s="10"/>
      <c r="I335" s="10"/>
      <c r="J335" s="10"/>
      <c r="K335" s="10"/>
      <c r="L335" s="10"/>
    </row>
    <row r="336" spans="1:12" x14ac:dyDescent="0.25">
      <c r="F336" s="10"/>
      <c r="G336" s="10"/>
      <c r="H336" s="10"/>
      <c r="I336" s="10"/>
      <c r="J336" s="10"/>
      <c r="K336" s="10"/>
      <c r="L336" s="10"/>
    </row>
    <row r="337" spans="6:12" x14ac:dyDescent="0.25">
      <c r="F337" s="10"/>
      <c r="G337" s="10"/>
      <c r="H337" s="10"/>
      <c r="I337" s="10"/>
      <c r="J337" s="10"/>
      <c r="K337" s="10"/>
      <c r="L337" s="10"/>
    </row>
    <row r="338" spans="6:12" x14ac:dyDescent="0.25">
      <c r="F338" s="10"/>
      <c r="G338" s="10"/>
      <c r="H338" s="10"/>
      <c r="I338" s="10"/>
      <c r="J338" s="10"/>
      <c r="K338" s="10"/>
      <c r="L338" s="10"/>
    </row>
    <row r="339" spans="6:12" x14ac:dyDescent="0.25">
      <c r="F339" s="10"/>
      <c r="G339" s="10"/>
      <c r="H339" s="10"/>
      <c r="I339" s="10"/>
      <c r="J339" s="10"/>
      <c r="K339" s="10"/>
    </row>
    <row r="340" spans="6:12" x14ac:dyDescent="0.25">
      <c r="F340" s="10"/>
      <c r="G340" s="10"/>
      <c r="H340" s="10"/>
      <c r="I340" s="10"/>
      <c r="J340" s="10"/>
      <c r="K340" s="375" t="s">
        <v>509</v>
      </c>
    </row>
    <row r="341" spans="6:12" x14ac:dyDescent="0.25">
      <c r="F341" s="10"/>
      <c r="G341" s="10"/>
      <c r="H341" s="10"/>
      <c r="I341" s="10"/>
      <c r="J341" s="10"/>
    </row>
  </sheetData>
  <mergeCells count="158">
    <mergeCell ref="G267:G293"/>
    <mergeCell ref="H267:H293"/>
    <mergeCell ref="I267:I293"/>
    <mergeCell ref="J267:J293"/>
    <mergeCell ref="K267:K293"/>
    <mergeCell ref="G261:G266"/>
    <mergeCell ref="H261:H266"/>
    <mergeCell ref="I261:I266"/>
    <mergeCell ref="J261:J266"/>
    <mergeCell ref="K261:K266"/>
    <mergeCell ref="F267:F293"/>
    <mergeCell ref="F243:F244"/>
    <mergeCell ref="F245:F260"/>
    <mergeCell ref="F261:F266"/>
    <mergeCell ref="G243:G244"/>
    <mergeCell ref="H243:H244"/>
    <mergeCell ref="I243:I244"/>
    <mergeCell ref="J243:J244"/>
    <mergeCell ref="G166:G179"/>
    <mergeCell ref="K243:K244"/>
    <mergeCell ref="H234:H242"/>
    <mergeCell ref="I234:I242"/>
    <mergeCell ref="J234:J242"/>
    <mergeCell ref="K234:K242"/>
    <mergeCell ref="G245:G260"/>
    <mergeCell ref="H245:H260"/>
    <mergeCell ref="I245:I260"/>
    <mergeCell ref="J245:J260"/>
    <mergeCell ref="K245:K260"/>
    <mergeCell ref="G234:G242"/>
    <mergeCell ref="K166:K179"/>
    <mergeCell ref="G181:G194"/>
    <mergeCell ref="H181:H194"/>
    <mergeCell ref="I181:I194"/>
    <mergeCell ref="J181:J194"/>
    <mergeCell ref="B243:B244"/>
    <mergeCell ref="B245:B260"/>
    <mergeCell ref="B261:B266"/>
    <mergeCell ref="B267:B293"/>
    <mergeCell ref="H199:H223"/>
    <mergeCell ref="I199:I223"/>
    <mergeCell ref="J199:J223"/>
    <mergeCell ref="K199:K223"/>
    <mergeCell ref="G195:G198"/>
    <mergeCell ref="H195:H198"/>
    <mergeCell ref="I195:I198"/>
    <mergeCell ref="J195:J198"/>
    <mergeCell ref="K195:K198"/>
    <mergeCell ref="B199:B223"/>
    <mergeCell ref="B195:B198"/>
    <mergeCell ref="F199:F223"/>
    <mergeCell ref="F195:F198"/>
    <mergeCell ref="G199:G223"/>
    <mergeCell ref="B229:K229"/>
    <mergeCell ref="B230:K230"/>
    <mergeCell ref="F232:H232"/>
    <mergeCell ref="I232:K232"/>
    <mergeCell ref="B234:B242"/>
    <mergeCell ref="F234:F242"/>
    <mergeCell ref="K181:K194"/>
    <mergeCell ref="B160:K160"/>
    <mergeCell ref="B161:K161"/>
    <mergeCell ref="F163:H163"/>
    <mergeCell ref="I163:K163"/>
    <mergeCell ref="H166:H179"/>
    <mergeCell ref="I166:I179"/>
    <mergeCell ref="J166:J179"/>
    <mergeCell ref="B181:B194"/>
    <mergeCell ref="B166:B179"/>
    <mergeCell ref="F181:F194"/>
    <mergeCell ref="F166:F179"/>
    <mergeCell ref="B33:B45"/>
    <mergeCell ref="B15:B27"/>
    <mergeCell ref="B13:B14"/>
    <mergeCell ref="F46:F47"/>
    <mergeCell ref="F33:F45"/>
    <mergeCell ref="F15:F27"/>
    <mergeCell ref="F13:F14"/>
    <mergeCell ref="F48:F73"/>
    <mergeCell ref="B28:B32"/>
    <mergeCell ref="F28:F32"/>
    <mergeCell ref="B7:K7"/>
    <mergeCell ref="B8:K8"/>
    <mergeCell ref="F11:H11"/>
    <mergeCell ref="I11:K11"/>
    <mergeCell ref="G13:G14"/>
    <mergeCell ref="H13:H14"/>
    <mergeCell ref="I13:I14"/>
    <mergeCell ref="G28:G32"/>
    <mergeCell ref="H28:H32"/>
    <mergeCell ref="I28:I32"/>
    <mergeCell ref="K13:K14"/>
    <mergeCell ref="G15:G27"/>
    <mergeCell ref="H15:H27"/>
    <mergeCell ref="I15:I27"/>
    <mergeCell ref="J15:J27"/>
    <mergeCell ref="K15:K27"/>
    <mergeCell ref="J13:J14"/>
    <mergeCell ref="K28:K32"/>
    <mergeCell ref="G33:G45"/>
    <mergeCell ref="H33:H45"/>
    <mergeCell ref="I33:I45"/>
    <mergeCell ref="J33:J45"/>
    <mergeCell ref="K33:K45"/>
    <mergeCell ref="J28:J32"/>
    <mergeCell ref="B48:B73"/>
    <mergeCell ref="B78:K78"/>
    <mergeCell ref="B79:K79"/>
    <mergeCell ref="F81:H81"/>
    <mergeCell ref="I81:K81"/>
    <mergeCell ref="G46:G47"/>
    <mergeCell ref="H46:H47"/>
    <mergeCell ref="I46:I47"/>
    <mergeCell ref="J46:J47"/>
    <mergeCell ref="K46:K47"/>
    <mergeCell ref="B46:B47"/>
    <mergeCell ref="F90:F108"/>
    <mergeCell ref="F113:F154"/>
    <mergeCell ref="G113:G154"/>
    <mergeCell ref="H113:H154"/>
    <mergeCell ref="G48:G73"/>
    <mergeCell ref="H48:H73"/>
    <mergeCell ref="I48:I73"/>
    <mergeCell ref="J48:J73"/>
    <mergeCell ref="K48:K73"/>
    <mergeCell ref="I113:I154"/>
    <mergeCell ref="G90:G108"/>
    <mergeCell ref="H90:H108"/>
    <mergeCell ref="J113:J154"/>
    <mergeCell ref="K113:K154"/>
    <mergeCell ref="G109:G112"/>
    <mergeCell ref="H109:H112"/>
    <mergeCell ref="I109:I112"/>
    <mergeCell ref="J109:J112"/>
    <mergeCell ref="K109:K112"/>
    <mergeCell ref="B2:W4"/>
    <mergeCell ref="B322:I322"/>
    <mergeCell ref="B323:I323"/>
    <mergeCell ref="D326:F326"/>
    <mergeCell ref="G326:I326"/>
    <mergeCell ref="K84:K89"/>
    <mergeCell ref="I90:I108"/>
    <mergeCell ref="D305:F305"/>
    <mergeCell ref="G305:I305"/>
    <mergeCell ref="J90:J108"/>
    <mergeCell ref="K90:K108"/>
    <mergeCell ref="B301:I301"/>
    <mergeCell ref="B302:I302"/>
    <mergeCell ref="B84:B89"/>
    <mergeCell ref="F84:F89"/>
    <mergeCell ref="G84:G89"/>
    <mergeCell ref="H84:H89"/>
    <mergeCell ref="I84:I89"/>
    <mergeCell ref="J84:J89"/>
    <mergeCell ref="B113:B154"/>
    <mergeCell ref="B109:B112"/>
    <mergeCell ref="B90:B108"/>
    <mergeCell ref="F109:F112"/>
  </mergeCells>
  <pageMargins left="0.7" right="0.7" top="0.75" bottom="0.75" header="0.3" footer="0.3"/>
  <pageSetup paperSize="9" scale="1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H334"/>
  <sheetViews>
    <sheetView showGridLines="0" topLeftCell="A301" zoomScale="55" zoomScaleNormal="55" zoomScaleSheetLayoutView="55" workbookViewId="0">
      <selection activeCell="F321" sqref="A321:F321"/>
    </sheetView>
  </sheetViews>
  <sheetFormatPr defaultRowHeight="15" x14ac:dyDescent="0.25"/>
  <cols>
    <col min="2" max="2" width="24.28515625" bestFit="1" customWidth="1"/>
    <col min="3" max="3" width="28.7109375" bestFit="1" customWidth="1"/>
    <col min="4" max="4" width="20.140625" bestFit="1" customWidth="1"/>
    <col min="5" max="5" width="17.7109375" customWidth="1"/>
    <col min="6" max="6" width="15.5703125" customWidth="1"/>
    <col min="7" max="8" width="20.140625" bestFit="1" customWidth="1"/>
    <col min="9" max="9" width="15" bestFit="1" customWidth="1"/>
    <col min="10" max="10" width="20.140625" bestFit="1" customWidth="1"/>
    <col min="11" max="11" width="15" bestFit="1" customWidth="1"/>
    <col min="12" max="12" width="14.5703125" bestFit="1" customWidth="1"/>
    <col min="13" max="13" width="17.140625" customWidth="1"/>
    <col min="14" max="14" width="18.85546875" bestFit="1" customWidth="1"/>
    <col min="15" max="15" width="15.85546875" customWidth="1"/>
    <col min="16" max="16" width="20.140625" bestFit="1" customWidth="1"/>
    <col min="17" max="17" width="15" bestFit="1" customWidth="1"/>
  </cols>
  <sheetData>
    <row r="1" spans="2:23" ht="15.75" thickBot="1" x14ac:dyDescent="0.3"/>
    <row r="2" spans="2:23" x14ac:dyDescent="0.25">
      <c r="B2" s="409" t="s">
        <v>505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1"/>
    </row>
    <row r="3" spans="2:23" x14ac:dyDescent="0.25">
      <c r="B3" s="412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4"/>
    </row>
    <row r="4" spans="2:23" ht="15.75" thickBot="1" x14ac:dyDescent="0.3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7"/>
    </row>
    <row r="6" spans="2:23" ht="15.75" thickBot="1" x14ac:dyDescent="0.3"/>
    <row r="7" spans="2:23" ht="27" thickBot="1" x14ac:dyDescent="0.45">
      <c r="B7" s="394" t="s">
        <v>394</v>
      </c>
      <c r="C7" s="430"/>
      <c r="D7" s="430"/>
      <c r="E7" s="430"/>
      <c r="F7" s="430"/>
      <c r="G7" s="430"/>
      <c r="H7" s="430"/>
      <c r="I7" s="430"/>
      <c r="J7" s="430"/>
      <c r="K7" s="431"/>
    </row>
    <row r="8" spans="2:23" ht="21.75" thickBot="1" x14ac:dyDescent="0.4">
      <c r="B8" s="397" t="s">
        <v>399</v>
      </c>
      <c r="C8" s="398"/>
      <c r="D8" s="398"/>
      <c r="E8" s="398"/>
      <c r="F8" s="398"/>
      <c r="G8" s="398"/>
      <c r="H8" s="398"/>
      <c r="I8" s="398"/>
      <c r="J8" s="398"/>
      <c r="K8" s="399"/>
    </row>
    <row r="10" spans="2:23" ht="15.75" thickBot="1" x14ac:dyDescent="0.3"/>
    <row r="11" spans="2:23" ht="19.5" thickBot="1" x14ac:dyDescent="0.3">
      <c r="B11" s="177"/>
      <c r="C11" s="178"/>
      <c r="D11" s="178"/>
      <c r="E11" s="178"/>
      <c r="F11" s="421" t="s">
        <v>389</v>
      </c>
      <c r="G11" s="421"/>
      <c r="H11" s="421"/>
      <c r="I11" s="421" t="s">
        <v>390</v>
      </c>
      <c r="J11" s="421"/>
      <c r="K11" s="422"/>
    </row>
    <row r="12" spans="2:23" ht="18.75" x14ac:dyDescent="0.25">
      <c r="B12" s="180" t="s">
        <v>261</v>
      </c>
      <c r="C12" s="179" t="s">
        <v>473</v>
      </c>
      <c r="D12" s="179" t="s">
        <v>267</v>
      </c>
      <c r="E12" s="179" t="s">
        <v>268</v>
      </c>
      <c r="F12" s="179" t="s">
        <v>473</v>
      </c>
      <c r="G12" s="179" t="s">
        <v>267</v>
      </c>
      <c r="H12" s="179" t="s">
        <v>268</v>
      </c>
      <c r="I12" s="179" t="s">
        <v>473</v>
      </c>
      <c r="J12" s="179" t="s">
        <v>267</v>
      </c>
      <c r="K12" s="181" t="s">
        <v>268</v>
      </c>
      <c r="N12" s="208" t="s">
        <v>261</v>
      </c>
      <c r="O12" s="209" t="s">
        <v>473</v>
      </c>
      <c r="P12" s="209" t="s">
        <v>267</v>
      </c>
      <c r="Q12" s="210" t="s">
        <v>268</v>
      </c>
    </row>
    <row r="13" spans="2:23" x14ac:dyDescent="0.25">
      <c r="B13" s="522" t="s">
        <v>387</v>
      </c>
      <c r="C13" s="271">
        <v>6100</v>
      </c>
      <c r="D13" s="271">
        <v>385</v>
      </c>
      <c r="E13" s="330">
        <v>737</v>
      </c>
      <c r="F13" s="695">
        <f>+SUM(C13:C16)</f>
        <v>10563</v>
      </c>
      <c r="G13" s="696">
        <f>+SUM(D13:D16)</f>
        <v>786</v>
      </c>
      <c r="H13" s="694">
        <f>+SUM(E13:E16)</f>
        <v>1530</v>
      </c>
      <c r="I13" s="697">
        <f>+AVERAGE(C13:C16)</f>
        <v>2640.75</v>
      </c>
      <c r="J13" s="696">
        <f>+AVERAGE(D13:D16)</f>
        <v>196.5</v>
      </c>
      <c r="K13" s="694">
        <f>+AVERAGE(E13:E16)</f>
        <v>382.5</v>
      </c>
      <c r="N13" s="78" t="s">
        <v>387</v>
      </c>
      <c r="O13" s="98">
        <f>+AVERAGE(I13:I14)</f>
        <v>2640.75</v>
      </c>
      <c r="P13" s="109">
        <f>+AVERAGE(J13:J14)</f>
        <v>196.5</v>
      </c>
      <c r="Q13" s="99">
        <f>+AVERAGE(K13:K14)</f>
        <v>382.5</v>
      </c>
    </row>
    <row r="14" spans="2:23" x14ac:dyDescent="0.25">
      <c r="B14" s="522"/>
      <c r="C14" s="230">
        <v>895</v>
      </c>
      <c r="D14" s="230">
        <v>86</v>
      </c>
      <c r="E14" s="231">
        <v>300</v>
      </c>
      <c r="F14" s="638"/>
      <c r="G14" s="641"/>
      <c r="H14" s="624"/>
      <c r="I14" s="663"/>
      <c r="J14" s="641"/>
      <c r="K14" s="624"/>
      <c r="N14" s="26" t="s">
        <v>386</v>
      </c>
      <c r="O14" s="100">
        <f>+I17</f>
        <v>3411.8</v>
      </c>
      <c r="P14" s="100">
        <f>+J17</f>
        <v>104.1</v>
      </c>
      <c r="Q14" s="101">
        <f>+K17</f>
        <v>191.6</v>
      </c>
    </row>
    <row r="15" spans="2:23" x14ac:dyDescent="0.25">
      <c r="B15" s="522"/>
      <c r="C15" s="259">
        <v>568</v>
      </c>
      <c r="D15" s="259">
        <v>110</v>
      </c>
      <c r="E15" s="260">
        <v>90</v>
      </c>
      <c r="F15" s="638"/>
      <c r="G15" s="641"/>
      <c r="H15" s="624"/>
      <c r="I15" s="663"/>
      <c r="J15" s="641"/>
      <c r="K15" s="624"/>
      <c r="N15" s="78" t="s">
        <v>276</v>
      </c>
      <c r="O15" s="98">
        <f>+I27</f>
        <v>677.60465116279067</v>
      </c>
      <c r="P15" s="98">
        <f>+J27</f>
        <v>82.883720930232556</v>
      </c>
      <c r="Q15" s="99">
        <f>+K27</f>
        <v>138.88372093023256</v>
      </c>
    </row>
    <row r="16" spans="2:23" x14ac:dyDescent="0.25">
      <c r="B16" s="543"/>
      <c r="C16" s="230">
        <v>3000</v>
      </c>
      <c r="D16" s="230">
        <v>205</v>
      </c>
      <c r="E16" s="231">
        <v>403</v>
      </c>
      <c r="F16" s="638"/>
      <c r="G16" s="641"/>
      <c r="H16" s="624"/>
      <c r="I16" s="663"/>
      <c r="J16" s="641"/>
      <c r="K16" s="624"/>
      <c r="N16" s="26" t="s">
        <v>302</v>
      </c>
      <c r="O16" s="100">
        <f t="shared" ref="O16:Q17" si="0">+I70</f>
        <v>807</v>
      </c>
      <c r="P16" s="100">
        <f t="shared" si="0"/>
        <v>217</v>
      </c>
      <c r="Q16" s="101">
        <f t="shared" si="0"/>
        <v>123</v>
      </c>
    </row>
    <row r="17" spans="2:17" ht="15.75" thickBot="1" x14ac:dyDescent="0.3">
      <c r="B17" s="467" t="s">
        <v>386</v>
      </c>
      <c r="C17" s="242">
        <v>110</v>
      </c>
      <c r="D17" s="242">
        <v>39</v>
      </c>
      <c r="E17" s="243">
        <v>13</v>
      </c>
      <c r="F17" s="453">
        <f>+SUM(C17:C26)</f>
        <v>34118</v>
      </c>
      <c r="G17" s="460">
        <f>+SUM(D17:D26)</f>
        <v>1041</v>
      </c>
      <c r="H17" s="461">
        <f>+SUM(E17:E26)</f>
        <v>1916</v>
      </c>
      <c r="I17" s="462">
        <f>+AVERAGE(C17:C26)</f>
        <v>3411.8</v>
      </c>
      <c r="J17" s="460">
        <f>+AVERAGE(D17:D26)</f>
        <v>104.1</v>
      </c>
      <c r="K17" s="461">
        <f>+AVERAGE(E17:E26)</f>
        <v>191.6</v>
      </c>
      <c r="N17" s="80" t="s">
        <v>345</v>
      </c>
      <c r="O17" s="329">
        <f t="shared" si="0"/>
        <v>451</v>
      </c>
      <c r="P17" s="107">
        <f t="shared" si="0"/>
        <v>39.666666666666664</v>
      </c>
      <c r="Q17" s="108">
        <f t="shared" si="0"/>
        <v>113.66666666666667</v>
      </c>
    </row>
    <row r="18" spans="2:17" x14ac:dyDescent="0.25">
      <c r="B18" s="468"/>
      <c r="C18" s="221">
        <v>11000</v>
      </c>
      <c r="D18" s="221">
        <v>333</v>
      </c>
      <c r="E18" s="222">
        <v>108</v>
      </c>
      <c r="F18" s="453"/>
      <c r="G18" s="460"/>
      <c r="H18" s="461"/>
      <c r="I18" s="462"/>
      <c r="J18" s="460"/>
      <c r="K18" s="461"/>
    </row>
    <row r="19" spans="2:17" x14ac:dyDescent="0.25">
      <c r="B19" s="468"/>
      <c r="C19" s="242">
        <v>9500</v>
      </c>
      <c r="D19" s="242">
        <v>197</v>
      </c>
      <c r="E19" s="243">
        <v>440</v>
      </c>
      <c r="F19" s="453"/>
      <c r="G19" s="460"/>
      <c r="H19" s="461"/>
      <c r="I19" s="462"/>
      <c r="J19" s="460"/>
      <c r="K19" s="461"/>
    </row>
    <row r="20" spans="2:17" x14ac:dyDescent="0.25">
      <c r="B20" s="468"/>
      <c r="C20" s="221">
        <v>288</v>
      </c>
      <c r="D20" s="221">
        <v>29</v>
      </c>
      <c r="E20" s="222">
        <v>127</v>
      </c>
      <c r="F20" s="453"/>
      <c r="G20" s="460"/>
      <c r="H20" s="461"/>
      <c r="I20" s="462"/>
      <c r="J20" s="460"/>
      <c r="K20" s="461"/>
      <c r="L20" s="21"/>
      <c r="M20" s="19"/>
      <c r="N20" s="20"/>
      <c r="O20" s="7"/>
    </row>
    <row r="21" spans="2:17" x14ac:dyDescent="0.25">
      <c r="B21" s="468"/>
      <c r="C21" s="242">
        <v>140</v>
      </c>
      <c r="D21" s="242">
        <v>19</v>
      </c>
      <c r="E21" s="243">
        <v>18</v>
      </c>
      <c r="F21" s="453"/>
      <c r="G21" s="460"/>
      <c r="H21" s="461"/>
      <c r="I21" s="462"/>
      <c r="J21" s="460"/>
      <c r="K21" s="461"/>
    </row>
    <row r="22" spans="2:17" x14ac:dyDescent="0.25">
      <c r="B22" s="468"/>
      <c r="C22" s="221">
        <v>7000</v>
      </c>
      <c r="D22" s="221">
        <v>108</v>
      </c>
      <c r="E22" s="222">
        <v>424</v>
      </c>
      <c r="F22" s="453"/>
      <c r="G22" s="460"/>
      <c r="H22" s="461"/>
      <c r="I22" s="462"/>
      <c r="J22" s="460"/>
      <c r="K22" s="461"/>
    </row>
    <row r="23" spans="2:17" x14ac:dyDescent="0.25">
      <c r="B23" s="468"/>
      <c r="C23" s="242">
        <v>1300</v>
      </c>
      <c r="D23" s="242">
        <v>114</v>
      </c>
      <c r="E23" s="243">
        <v>178</v>
      </c>
      <c r="F23" s="453"/>
      <c r="G23" s="460"/>
      <c r="H23" s="461"/>
      <c r="I23" s="462"/>
      <c r="J23" s="460"/>
      <c r="K23" s="461"/>
    </row>
    <row r="24" spans="2:17" x14ac:dyDescent="0.25">
      <c r="B24" s="468"/>
      <c r="C24" s="221">
        <v>93</v>
      </c>
      <c r="D24" s="221">
        <v>17</v>
      </c>
      <c r="E24" s="222">
        <v>3</v>
      </c>
      <c r="F24" s="453"/>
      <c r="G24" s="460"/>
      <c r="H24" s="461"/>
      <c r="I24" s="462"/>
      <c r="J24" s="460"/>
      <c r="K24" s="461"/>
    </row>
    <row r="25" spans="2:17" x14ac:dyDescent="0.25">
      <c r="B25" s="468"/>
      <c r="C25" s="223">
        <v>4300</v>
      </c>
      <c r="D25" s="223">
        <v>163</v>
      </c>
      <c r="E25" s="224">
        <v>553</v>
      </c>
      <c r="F25" s="453"/>
      <c r="G25" s="460"/>
      <c r="H25" s="461"/>
      <c r="I25" s="462"/>
      <c r="J25" s="460"/>
      <c r="K25" s="461"/>
    </row>
    <row r="26" spans="2:17" x14ac:dyDescent="0.25">
      <c r="B26" s="469"/>
      <c r="C26" s="221">
        <v>387</v>
      </c>
      <c r="D26" s="221">
        <v>22</v>
      </c>
      <c r="E26" s="222">
        <v>52</v>
      </c>
      <c r="F26" s="453"/>
      <c r="G26" s="460"/>
      <c r="H26" s="461"/>
      <c r="I26" s="462"/>
      <c r="J26" s="460"/>
      <c r="K26" s="461"/>
    </row>
    <row r="27" spans="2:17" x14ac:dyDescent="0.25">
      <c r="B27" s="521" t="s">
        <v>276</v>
      </c>
      <c r="C27" s="266">
        <v>338</v>
      </c>
      <c r="D27" s="266">
        <v>102</v>
      </c>
      <c r="E27" s="267">
        <v>86</v>
      </c>
      <c r="F27" s="638">
        <f>+SUM(C27:C69)</f>
        <v>29137</v>
      </c>
      <c r="G27" s="641">
        <f>+SUM(D27:D69)</f>
        <v>3564</v>
      </c>
      <c r="H27" s="624">
        <f>+SUM(E27:E69)</f>
        <v>5972</v>
      </c>
      <c r="I27" s="663">
        <f>+AVERAGE(C27:C69)</f>
        <v>677.60465116279067</v>
      </c>
      <c r="J27" s="641">
        <f>+AVERAGE(D27:D69)</f>
        <v>82.883720930232556</v>
      </c>
      <c r="K27" s="624">
        <f>+AVERAGE(E27:E69)</f>
        <v>138.88372093023256</v>
      </c>
    </row>
    <row r="28" spans="2:17" x14ac:dyDescent="0.25">
      <c r="B28" s="522"/>
      <c r="C28" s="230">
        <v>2100</v>
      </c>
      <c r="D28" s="230">
        <v>342</v>
      </c>
      <c r="E28" s="231">
        <v>340</v>
      </c>
      <c r="F28" s="638"/>
      <c r="G28" s="641"/>
      <c r="H28" s="624"/>
      <c r="I28" s="663"/>
      <c r="J28" s="641"/>
      <c r="K28" s="624"/>
    </row>
    <row r="29" spans="2:17" x14ac:dyDescent="0.25">
      <c r="B29" s="522"/>
      <c r="C29" s="259">
        <v>305</v>
      </c>
      <c r="D29" s="259">
        <v>84</v>
      </c>
      <c r="E29" s="260">
        <v>24</v>
      </c>
      <c r="F29" s="638"/>
      <c r="G29" s="641"/>
      <c r="H29" s="624"/>
      <c r="I29" s="663"/>
      <c r="J29" s="641"/>
      <c r="K29" s="624"/>
    </row>
    <row r="30" spans="2:17" x14ac:dyDescent="0.25">
      <c r="B30" s="522"/>
      <c r="C30" s="230">
        <v>810</v>
      </c>
      <c r="D30" s="230">
        <v>179</v>
      </c>
      <c r="E30" s="231">
        <v>465</v>
      </c>
      <c r="F30" s="638"/>
      <c r="G30" s="641"/>
      <c r="H30" s="624"/>
      <c r="I30" s="663"/>
      <c r="J30" s="641"/>
      <c r="K30" s="624"/>
    </row>
    <row r="31" spans="2:17" x14ac:dyDescent="0.25">
      <c r="B31" s="522"/>
      <c r="C31" s="259">
        <v>360</v>
      </c>
      <c r="D31" s="259">
        <v>101</v>
      </c>
      <c r="E31" s="260">
        <v>61</v>
      </c>
      <c r="F31" s="638"/>
      <c r="G31" s="641"/>
      <c r="H31" s="624"/>
      <c r="I31" s="663"/>
      <c r="J31" s="641"/>
      <c r="K31" s="624"/>
    </row>
    <row r="32" spans="2:17" x14ac:dyDescent="0.25">
      <c r="B32" s="522"/>
      <c r="C32" s="266">
        <v>444</v>
      </c>
      <c r="D32" s="266">
        <v>121</v>
      </c>
      <c r="E32" s="267">
        <v>80</v>
      </c>
      <c r="F32" s="638"/>
      <c r="G32" s="641"/>
      <c r="H32" s="624"/>
      <c r="I32" s="663"/>
      <c r="J32" s="641"/>
      <c r="K32" s="624"/>
    </row>
    <row r="33" spans="2:11" x14ac:dyDescent="0.25">
      <c r="B33" s="522"/>
      <c r="C33" s="259">
        <v>552</v>
      </c>
      <c r="D33" s="259">
        <v>72</v>
      </c>
      <c r="E33" s="260">
        <v>69</v>
      </c>
      <c r="F33" s="638"/>
      <c r="G33" s="641"/>
      <c r="H33" s="624"/>
      <c r="I33" s="663"/>
      <c r="J33" s="641"/>
      <c r="K33" s="624"/>
    </row>
    <row r="34" spans="2:11" x14ac:dyDescent="0.25">
      <c r="B34" s="522"/>
      <c r="C34" s="230">
        <v>343</v>
      </c>
      <c r="D34" s="230">
        <v>75</v>
      </c>
      <c r="E34" s="231">
        <v>59</v>
      </c>
      <c r="F34" s="638"/>
      <c r="G34" s="641"/>
      <c r="H34" s="624"/>
      <c r="I34" s="663"/>
      <c r="J34" s="641"/>
      <c r="K34" s="624"/>
    </row>
    <row r="35" spans="2:11" x14ac:dyDescent="0.25">
      <c r="B35" s="522"/>
      <c r="C35" s="259">
        <v>559</v>
      </c>
      <c r="D35" s="259">
        <v>63</v>
      </c>
      <c r="E35" s="260">
        <v>83</v>
      </c>
      <c r="F35" s="638"/>
      <c r="G35" s="641"/>
      <c r="H35" s="624"/>
      <c r="I35" s="663"/>
      <c r="J35" s="641"/>
      <c r="K35" s="624"/>
    </row>
    <row r="36" spans="2:11" x14ac:dyDescent="0.25">
      <c r="B36" s="522"/>
      <c r="C36" s="230">
        <v>1088</v>
      </c>
      <c r="D36" s="230">
        <v>122</v>
      </c>
      <c r="E36" s="231">
        <v>437</v>
      </c>
      <c r="F36" s="638"/>
      <c r="G36" s="641"/>
      <c r="H36" s="624"/>
      <c r="I36" s="663"/>
      <c r="J36" s="641"/>
      <c r="K36" s="624"/>
    </row>
    <row r="37" spans="2:11" x14ac:dyDescent="0.25">
      <c r="B37" s="522"/>
      <c r="C37" s="266">
        <v>928</v>
      </c>
      <c r="D37" s="266">
        <v>113</v>
      </c>
      <c r="E37" s="267">
        <v>166</v>
      </c>
      <c r="F37" s="638"/>
      <c r="G37" s="641"/>
      <c r="H37" s="624"/>
      <c r="I37" s="663"/>
      <c r="J37" s="641"/>
      <c r="K37" s="624"/>
    </row>
    <row r="38" spans="2:11" x14ac:dyDescent="0.25">
      <c r="B38" s="522"/>
      <c r="C38" s="230">
        <v>513</v>
      </c>
      <c r="D38" s="230">
        <v>81</v>
      </c>
      <c r="E38" s="231">
        <v>157</v>
      </c>
      <c r="F38" s="638"/>
      <c r="G38" s="641"/>
      <c r="H38" s="624"/>
      <c r="I38" s="663"/>
      <c r="J38" s="641"/>
      <c r="K38" s="624"/>
    </row>
    <row r="39" spans="2:11" x14ac:dyDescent="0.25">
      <c r="B39" s="522"/>
      <c r="C39" s="266">
        <v>340</v>
      </c>
      <c r="D39" s="266">
        <v>39</v>
      </c>
      <c r="E39" s="267">
        <v>71</v>
      </c>
      <c r="F39" s="638"/>
      <c r="G39" s="641"/>
      <c r="H39" s="624"/>
      <c r="I39" s="663"/>
      <c r="J39" s="641"/>
      <c r="K39" s="624"/>
    </row>
    <row r="40" spans="2:11" x14ac:dyDescent="0.25">
      <c r="B40" s="522"/>
      <c r="C40" s="230">
        <v>165</v>
      </c>
      <c r="D40" s="230">
        <v>62</v>
      </c>
      <c r="E40" s="231">
        <v>136</v>
      </c>
      <c r="F40" s="638"/>
      <c r="G40" s="641"/>
      <c r="H40" s="624"/>
      <c r="I40" s="663"/>
      <c r="J40" s="641"/>
      <c r="K40" s="624"/>
    </row>
    <row r="41" spans="2:11" x14ac:dyDescent="0.25">
      <c r="B41" s="522"/>
      <c r="C41" s="259">
        <v>1100</v>
      </c>
      <c r="D41" s="259">
        <v>84</v>
      </c>
      <c r="E41" s="260">
        <v>217</v>
      </c>
      <c r="F41" s="638"/>
      <c r="G41" s="641"/>
      <c r="H41" s="624"/>
      <c r="I41" s="663"/>
      <c r="J41" s="641"/>
      <c r="K41" s="624"/>
    </row>
    <row r="42" spans="2:11" x14ac:dyDescent="0.25">
      <c r="B42" s="522"/>
      <c r="C42" s="230">
        <v>314</v>
      </c>
      <c r="D42" s="230">
        <v>60</v>
      </c>
      <c r="E42" s="231">
        <v>55</v>
      </c>
      <c r="F42" s="638"/>
      <c r="G42" s="641"/>
      <c r="H42" s="624"/>
      <c r="I42" s="663"/>
      <c r="J42" s="641"/>
      <c r="K42" s="624"/>
    </row>
    <row r="43" spans="2:11" x14ac:dyDescent="0.25">
      <c r="B43" s="522"/>
      <c r="C43" s="259">
        <v>305</v>
      </c>
      <c r="D43" s="259">
        <v>23</v>
      </c>
      <c r="E43" s="260">
        <v>34</v>
      </c>
      <c r="F43" s="638"/>
      <c r="G43" s="641"/>
      <c r="H43" s="624"/>
      <c r="I43" s="663"/>
      <c r="J43" s="641"/>
      <c r="K43" s="624"/>
    </row>
    <row r="44" spans="2:11" x14ac:dyDescent="0.25">
      <c r="B44" s="522"/>
      <c r="C44" s="230">
        <v>273</v>
      </c>
      <c r="D44" s="230">
        <v>29</v>
      </c>
      <c r="E44" s="231">
        <v>31</v>
      </c>
      <c r="F44" s="638"/>
      <c r="G44" s="641"/>
      <c r="H44" s="624"/>
      <c r="I44" s="663"/>
      <c r="J44" s="641"/>
      <c r="K44" s="624"/>
    </row>
    <row r="45" spans="2:11" x14ac:dyDescent="0.25">
      <c r="B45" s="522"/>
      <c r="C45" s="266">
        <v>272</v>
      </c>
      <c r="D45" s="266">
        <v>77</v>
      </c>
      <c r="E45" s="267">
        <v>60</v>
      </c>
      <c r="F45" s="638"/>
      <c r="G45" s="641"/>
      <c r="H45" s="624"/>
      <c r="I45" s="663"/>
      <c r="J45" s="641"/>
      <c r="K45" s="624"/>
    </row>
    <row r="46" spans="2:11" x14ac:dyDescent="0.25">
      <c r="B46" s="522"/>
      <c r="C46" s="331">
        <v>661</v>
      </c>
      <c r="D46" s="331">
        <v>38</v>
      </c>
      <c r="E46" s="332">
        <v>127</v>
      </c>
      <c r="F46" s="638"/>
      <c r="G46" s="641"/>
      <c r="H46" s="624"/>
      <c r="I46" s="663"/>
      <c r="J46" s="641"/>
      <c r="K46" s="624"/>
    </row>
    <row r="47" spans="2:11" x14ac:dyDescent="0.25">
      <c r="B47" s="522"/>
      <c r="C47" s="259">
        <v>388</v>
      </c>
      <c r="D47" s="259">
        <v>57</v>
      </c>
      <c r="E47" s="260">
        <v>93</v>
      </c>
      <c r="F47" s="638"/>
      <c r="G47" s="641"/>
      <c r="H47" s="624"/>
      <c r="I47" s="663"/>
      <c r="J47" s="641"/>
      <c r="K47" s="624"/>
    </row>
    <row r="48" spans="2:11" x14ac:dyDescent="0.25">
      <c r="B48" s="522"/>
      <c r="C48" s="230">
        <v>282</v>
      </c>
      <c r="D48" s="230">
        <v>24</v>
      </c>
      <c r="E48" s="231">
        <v>120</v>
      </c>
      <c r="F48" s="638"/>
      <c r="G48" s="641"/>
      <c r="H48" s="624"/>
      <c r="I48" s="663"/>
      <c r="J48" s="641"/>
      <c r="K48" s="624"/>
    </row>
    <row r="49" spans="2:11" x14ac:dyDescent="0.25">
      <c r="B49" s="522"/>
      <c r="C49" s="259">
        <v>527</v>
      </c>
      <c r="D49" s="259">
        <v>141</v>
      </c>
      <c r="E49" s="260">
        <v>132</v>
      </c>
      <c r="F49" s="638"/>
      <c r="G49" s="641"/>
      <c r="H49" s="624"/>
      <c r="I49" s="663"/>
      <c r="J49" s="641"/>
      <c r="K49" s="624"/>
    </row>
    <row r="50" spans="2:11" x14ac:dyDescent="0.25">
      <c r="B50" s="522"/>
      <c r="C50" s="230">
        <v>885</v>
      </c>
      <c r="D50" s="230">
        <v>150</v>
      </c>
      <c r="E50" s="231">
        <v>53</v>
      </c>
      <c r="F50" s="638"/>
      <c r="G50" s="641"/>
      <c r="H50" s="624"/>
      <c r="I50" s="663"/>
      <c r="J50" s="641"/>
      <c r="K50" s="624"/>
    </row>
    <row r="51" spans="2:11" x14ac:dyDescent="0.25">
      <c r="B51" s="522"/>
      <c r="C51" s="259">
        <v>1100</v>
      </c>
      <c r="D51" s="259">
        <v>108</v>
      </c>
      <c r="E51" s="260">
        <v>144</v>
      </c>
      <c r="F51" s="638"/>
      <c r="G51" s="641"/>
      <c r="H51" s="624"/>
      <c r="I51" s="663"/>
      <c r="J51" s="641"/>
      <c r="K51" s="624"/>
    </row>
    <row r="52" spans="2:11" x14ac:dyDescent="0.25">
      <c r="B52" s="522"/>
      <c r="C52" s="230">
        <v>537</v>
      </c>
      <c r="D52" s="230">
        <v>51</v>
      </c>
      <c r="E52" s="231">
        <v>113</v>
      </c>
      <c r="F52" s="638"/>
      <c r="G52" s="641"/>
      <c r="H52" s="624"/>
      <c r="I52" s="663"/>
      <c r="J52" s="641"/>
      <c r="K52" s="624"/>
    </row>
    <row r="53" spans="2:11" x14ac:dyDescent="0.25">
      <c r="B53" s="522"/>
      <c r="C53" s="259">
        <v>227</v>
      </c>
      <c r="D53" s="259">
        <v>31</v>
      </c>
      <c r="E53" s="260">
        <v>56</v>
      </c>
      <c r="F53" s="638"/>
      <c r="G53" s="641"/>
      <c r="H53" s="624"/>
      <c r="I53" s="663"/>
      <c r="J53" s="641"/>
      <c r="K53" s="624"/>
    </row>
    <row r="54" spans="2:11" x14ac:dyDescent="0.25">
      <c r="B54" s="522"/>
      <c r="C54" s="230">
        <v>482</v>
      </c>
      <c r="D54" s="230">
        <v>55</v>
      </c>
      <c r="E54" s="231">
        <v>94</v>
      </c>
      <c r="F54" s="638"/>
      <c r="G54" s="641"/>
      <c r="H54" s="624"/>
      <c r="I54" s="663"/>
      <c r="J54" s="641"/>
      <c r="K54" s="624"/>
    </row>
    <row r="55" spans="2:11" x14ac:dyDescent="0.25">
      <c r="B55" s="522"/>
      <c r="C55" s="259">
        <v>284</v>
      </c>
      <c r="D55" s="259">
        <v>47</v>
      </c>
      <c r="E55" s="260">
        <v>163</v>
      </c>
      <c r="F55" s="638"/>
      <c r="G55" s="641"/>
      <c r="H55" s="624"/>
      <c r="I55" s="663"/>
      <c r="J55" s="641"/>
      <c r="K55" s="624"/>
    </row>
    <row r="56" spans="2:11" x14ac:dyDescent="0.25">
      <c r="B56" s="522"/>
      <c r="C56" s="230">
        <v>4100</v>
      </c>
      <c r="D56" s="230">
        <v>165</v>
      </c>
      <c r="E56" s="231">
        <v>629</v>
      </c>
      <c r="F56" s="638"/>
      <c r="G56" s="641"/>
      <c r="H56" s="624"/>
      <c r="I56" s="663"/>
      <c r="J56" s="641"/>
      <c r="K56" s="624"/>
    </row>
    <row r="57" spans="2:11" x14ac:dyDescent="0.25">
      <c r="B57" s="522"/>
      <c r="C57" s="259">
        <v>2300</v>
      </c>
      <c r="D57" s="259">
        <v>133</v>
      </c>
      <c r="E57" s="260">
        <v>167</v>
      </c>
      <c r="F57" s="638"/>
      <c r="G57" s="641"/>
      <c r="H57" s="624"/>
      <c r="I57" s="663"/>
      <c r="J57" s="641"/>
      <c r="K57" s="624"/>
    </row>
    <row r="58" spans="2:11" x14ac:dyDescent="0.25">
      <c r="B58" s="522"/>
      <c r="C58" s="230">
        <v>515</v>
      </c>
      <c r="D58" s="230">
        <v>93</v>
      </c>
      <c r="E58" s="231">
        <v>104</v>
      </c>
      <c r="F58" s="638"/>
      <c r="G58" s="641"/>
      <c r="H58" s="624"/>
      <c r="I58" s="663"/>
      <c r="J58" s="641"/>
      <c r="K58" s="624"/>
    </row>
    <row r="59" spans="2:11" x14ac:dyDescent="0.25">
      <c r="B59" s="522"/>
      <c r="C59" s="259">
        <v>485</v>
      </c>
      <c r="D59" s="259">
        <v>33</v>
      </c>
      <c r="E59" s="260">
        <v>193</v>
      </c>
      <c r="F59" s="638"/>
      <c r="G59" s="641"/>
      <c r="H59" s="624"/>
      <c r="I59" s="663"/>
      <c r="J59" s="641"/>
      <c r="K59" s="624"/>
    </row>
    <row r="60" spans="2:11" x14ac:dyDescent="0.25">
      <c r="B60" s="522"/>
      <c r="C60" s="230">
        <v>443</v>
      </c>
      <c r="D60" s="230">
        <v>81</v>
      </c>
      <c r="E60" s="231">
        <v>140</v>
      </c>
      <c r="F60" s="638"/>
      <c r="G60" s="641"/>
      <c r="H60" s="624"/>
      <c r="I60" s="663"/>
      <c r="J60" s="641"/>
      <c r="K60" s="624"/>
    </row>
    <row r="61" spans="2:11" x14ac:dyDescent="0.25">
      <c r="B61" s="522"/>
      <c r="C61" s="259">
        <v>178</v>
      </c>
      <c r="D61" s="259">
        <v>39</v>
      </c>
      <c r="E61" s="260">
        <v>59</v>
      </c>
      <c r="F61" s="638"/>
      <c r="G61" s="641"/>
      <c r="H61" s="624"/>
      <c r="I61" s="663"/>
      <c r="J61" s="641"/>
      <c r="K61" s="624"/>
    </row>
    <row r="62" spans="2:11" x14ac:dyDescent="0.25">
      <c r="B62" s="522"/>
      <c r="C62" s="230">
        <v>1300</v>
      </c>
      <c r="D62" s="230">
        <v>164</v>
      </c>
      <c r="E62" s="231">
        <v>254</v>
      </c>
      <c r="F62" s="638"/>
      <c r="G62" s="641"/>
      <c r="H62" s="624"/>
      <c r="I62" s="663"/>
      <c r="J62" s="641"/>
      <c r="K62" s="624"/>
    </row>
    <row r="63" spans="2:11" x14ac:dyDescent="0.25">
      <c r="B63" s="522"/>
      <c r="C63" s="259">
        <v>42</v>
      </c>
      <c r="D63" s="259">
        <v>11</v>
      </c>
      <c r="E63" s="260">
        <v>15</v>
      </c>
      <c r="F63" s="638"/>
      <c r="G63" s="641"/>
      <c r="H63" s="624"/>
      <c r="I63" s="663"/>
      <c r="J63" s="641"/>
      <c r="K63" s="624"/>
    </row>
    <row r="64" spans="2:11" x14ac:dyDescent="0.25">
      <c r="B64" s="522"/>
      <c r="C64" s="230">
        <v>614</v>
      </c>
      <c r="D64" s="230">
        <v>48</v>
      </c>
      <c r="E64" s="231">
        <v>71</v>
      </c>
      <c r="F64" s="638"/>
      <c r="G64" s="641"/>
      <c r="H64" s="624"/>
      <c r="I64" s="663"/>
      <c r="J64" s="641"/>
      <c r="K64" s="624"/>
    </row>
    <row r="65" spans="1:34" x14ac:dyDescent="0.25">
      <c r="B65" s="522"/>
      <c r="C65" s="259">
        <v>412</v>
      </c>
      <c r="D65" s="259">
        <v>31</v>
      </c>
      <c r="E65" s="260">
        <v>81</v>
      </c>
      <c r="F65" s="638"/>
      <c r="G65" s="641"/>
      <c r="H65" s="624"/>
      <c r="I65" s="663"/>
      <c r="J65" s="641"/>
      <c r="K65" s="624"/>
    </row>
    <row r="66" spans="1:34" x14ac:dyDescent="0.25">
      <c r="B66" s="522"/>
      <c r="C66" s="230">
        <v>1000</v>
      </c>
      <c r="D66" s="230">
        <v>62</v>
      </c>
      <c r="E66" s="231">
        <v>174</v>
      </c>
      <c r="F66" s="638"/>
      <c r="G66" s="641"/>
      <c r="H66" s="624"/>
      <c r="I66" s="663"/>
      <c r="J66" s="641"/>
      <c r="K66" s="624"/>
    </row>
    <row r="67" spans="1:34" x14ac:dyDescent="0.25">
      <c r="B67" s="522"/>
      <c r="C67" s="259">
        <v>691</v>
      </c>
      <c r="D67" s="259">
        <v>70</v>
      </c>
      <c r="E67" s="260">
        <v>227</v>
      </c>
      <c r="F67" s="638"/>
      <c r="G67" s="641"/>
      <c r="H67" s="624"/>
      <c r="I67" s="663"/>
      <c r="J67" s="641"/>
      <c r="K67" s="624"/>
    </row>
    <row r="68" spans="1:34" x14ac:dyDescent="0.25">
      <c r="B68" s="522"/>
      <c r="C68" s="230">
        <v>338</v>
      </c>
      <c r="D68" s="230">
        <v>34</v>
      </c>
      <c r="E68" s="231">
        <v>38</v>
      </c>
      <c r="F68" s="638"/>
      <c r="G68" s="641"/>
      <c r="H68" s="624"/>
      <c r="I68" s="663"/>
      <c r="J68" s="641"/>
      <c r="K68" s="624"/>
    </row>
    <row r="69" spans="1:34" x14ac:dyDescent="0.25">
      <c r="B69" s="543"/>
      <c r="C69" s="259">
        <v>237</v>
      </c>
      <c r="D69" s="259">
        <v>69</v>
      </c>
      <c r="E69" s="260">
        <v>94</v>
      </c>
      <c r="F69" s="638"/>
      <c r="G69" s="641"/>
      <c r="H69" s="624"/>
      <c r="I69" s="663"/>
      <c r="J69" s="641"/>
      <c r="K69" s="624"/>
    </row>
    <row r="70" spans="1:34" x14ac:dyDescent="0.25">
      <c r="B70" s="348" t="s">
        <v>302</v>
      </c>
      <c r="C70" s="223">
        <v>807</v>
      </c>
      <c r="D70" s="223">
        <v>217</v>
      </c>
      <c r="E70" s="224">
        <v>123</v>
      </c>
      <c r="F70" s="348">
        <v>807</v>
      </c>
      <c r="G70" s="349">
        <v>217</v>
      </c>
      <c r="H70" s="350">
        <v>123</v>
      </c>
      <c r="I70" s="351">
        <v>807</v>
      </c>
      <c r="J70" s="349">
        <v>217</v>
      </c>
      <c r="K70" s="350">
        <v>123</v>
      </c>
    </row>
    <row r="71" spans="1:34" x14ac:dyDescent="0.25">
      <c r="B71" s="481" t="s">
        <v>345</v>
      </c>
      <c r="C71" s="259">
        <v>485</v>
      </c>
      <c r="D71" s="259">
        <v>49</v>
      </c>
      <c r="E71" s="260">
        <v>139</v>
      </c>
      <c r="F71" s="638">
        <f>+SUM(C71:C73)</f>
        <v>1353</v>
      </c>
      <c r="G71" s="641">
        <f>+SUM(D71:D73)</f>
        <v>119</v>
      </c>
      <c r="H71" s="624">
        <f>+SUM(E71:E73)</f>
        <v>341</v>
      </c>
      <c r="I71" s="663">
        <f>+AVERAGE(C71:C73)</f>
        <v>451</v>
      </c>
      <c r="J71" s="641">
        <f>+AVERAGE(D71:D73)</f>
        <v>39.666666666666664</v>
      </c>
      <c r="K71" s="624">
        <f>+AVERAGE(E71:E73)</f>
        <v>113.66666666666667</v>
      </c>
    </row>
    <row r="72" spans="1:34" x14ac:dyDescent="0.25">
      <c r="B72" s="482"/>
      <c r="C72" s="266">
        <v>345</v>
      </c>
      <c r="D72" s="266">
        <v>42</v>
      </c>
      <c r="E72" s="267">
        <v>68</v>
      </c>
      <c r="F72" s="638"/>
      <c r="G72" s="641"/>
      <c r="H72" s="624"/>
      <c r="I72" s="663"/>
      <c r="J72" s="641"/>
      <c r="K72" s="624"/>
    </row>
    <row r="73" spans="1:34" ht="15.75" thickBot="1" x14ac:dyDescent="0.3">
      <c r="B73" s="689"/>
      <c r="C73" s="333">
        <v>523</v>
      </c>
      <c r="D73" s="333">
        <v>28</v>
      </c>
      <c r="E73" s="334">
        <v>134</v>
      </c>
      <c r="F73" s="690"/>
      <c r="G73" s="691"/>
      <c r="H73" s="692"/>
      <c r="I73" s="693"/>
      <c r="J73" s="691"/>
      <c r="K73" s="692"/>
    </row>
    <row r="75" spans="1:34" x14ac:dyDescent="0.25">
      <c r="A75" s="13"/>
      <c r="B75" s="14"/>
      <c r="C75" s="13"/>
      <c r="D75" s="13"/>
      <c r="E75" s="13"/>
      <c r="F75" s="14"/>
      <c r="G75" s="14"/>
      <c r="H75" s="14"/>
      <c r="I75" s="14"/>
      <c r="J75" s="14"/>
      <c r="K75" s="14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7" spans="1:34" ht="15.75" thickBot="1" x14ac:dyDescent="0.3"/>
    <row r="78" spans="1:34" ht="27" thickBot="1" x14ac:dyDescent="0.3">
      <c r="B78" s="627" t="s">
        <v>393</v>
      </c>
      <c r="C78" s="628"/>
      <c r="D78" s="628"/>
      <c r="E78" s="628"/>
      <c r="F78" s="628"/>
      <c r="G78" s="628"/>
      <c r="H78" s="628"/>
      <c r="I78" s="628"/>
      <c r="J78" s="628"/>
      <c r="K78" s="629"/>
    </row>
    <row r="79" spans="1:34" ht="21.75" thickBot="1" x14ac:dyDescent="0.4">
      <c r="B79" s="397" t="s">
        <v>399</v>
      </c>
      <c r="C79" s="398"/>
      <c r="D79" s="398"/>
      <c r="E79" s="398"/>
      <c r="F79" s="398"/>
      <c r="G79" s="398"/>
      <c r="H79" s="398"/>
      <c r="I79" s="398"/>
      <c r="J79" s="398"/>
      <c r="K79" s="399"/>
    </row>
    <row r="80" spans="1:34" ht="15.75" thickBot="1" x14ac:dyDescent="0.3">
      <c r="B80" s="11"/>
      <c r="C80" s="7"/>
      <c r="D80" s="7"/>
      <c r="E80" s="7"/>
      <c r="F80" s="11"/>
      <c r="G80" s="11"/>
      <c r="H80" s="11"/>
      <c r="I80" s="11"/>
      <c r="J80" s="11"/>
      <c r="K80" s="11"/>
    </row>
    <row r="81" spans="2:17" ht="19.5" thickBot="1" x14ac:dyDescent="0.3">
      <c r="B81" s="177"/>
      <c r="C81" s="178"/>
      <c r="D81" s="178"/>
      <c r="E81" s="178"/>
      <c r="F81" s="421" t="s">
        <v>389</v>
      </c>
      <c r="G81" s="421"/>
      <c r="H81" s="421"/>
      <c r="I81" s="421" t="s">
        <v>390</v>
      </c>
      <c r="J81" s="421"/>
      <c r="K81" s="422"/>
    </row>
    <row r="82" spans="2:17" ht="19.5" thickBot="1" x14ac:dyDescent="0.3">
      <c r="B82" s="180" t="s">
        <v>261</v>
      </c>
      <c r="C82" s="179" t="s">
        <v>473</v>
      </c>
      <c r="D82" s="179" t="s">
        <v>267</v>
      </c>
      <c r="E82" s="179" t="s">
        <v>268</v>
      </c>
      <c r="F82" s="179" t="s">
        <v>473</v>
      </c>
      <c r="G82" s="179" t="s">
        <v>267</v>
      </c>
      <c r="H82" s="179" t="s">
        <v>268</v>
      </c>
      <c r="I82" s="179" t="s">
        <v>473</v>
      </c>
      <c r="J82" s="179" t="s">
        <v>267</v>
      </c>
      <c r="K82" s="181" t="s">
        <v>268</v>
      </c>
      <c r="N82" s="208" t="s">
        <v>261</v>
      </c>
      <c r="O82" s="209" t="s">
        <v>473</v>
      </c>
      <c r="P82" s="209" t="s">
        <v>267</v>
      </c>
      <c r="Q82" s="210" t="s">
        <v>268</v>
      </c>
    </row>
    <row r="83" spans="2:17" x14ac:dyDescent="0.25">
      <c r="B83" s="482" t="s">
        <v>387</v>
      </c>
      <c r="C83" s="278">
        <v>807</v>
      </c>
      <c r="D83" s="278">
        <v>83</v>
      </c>
      <c r="E83" s="279">
        <v>167</v>
      </c>
      <c r="F83" s="686">
        <f>+SUM(C83:C84)</f>
        <v>1386</v>
      </c>
      <c r="G83" s="687">
        <f>+SUM(D83:D84)</f>
        <v>196</v>
      </c>
      <c r="H83" s="685">
        <f>+SUM(E83:E84)</f>
        <v>355</v>
      </c>
      <c r="I83" s="688">
        <f>+AVERAGE(C83:C84)</f>
        <v>693</v>
      </c>
      <c r="J83" s="687">
        <f>+AVERAGE(D83:D84)</f>
        <v>98</v>
      </c>
      <c r="K83" s="685">
        <f>+AVERAGE(E83:E84)</f>
        <v>177.5</v>
      </c>
      <c r="N83" s="78" t="s">
        <v>387</v>
      </c>
      <c r="O83" s="98">
        <f>+I83</f>
        <v>693</v>
      </c>
      <c r="P83" s="109">
        <f>+J83</f>
        <v>98</v>
      </c>
      <c r="Q83" s="99">
        <f>+K83</f>
        <v>177.5</v>
      </c>
    </row>
    <row r="84" spans="2:17" x14ac:dyDescent="0.25">
      <c r="B84" s="483"/>
      <c r="C84" s="287">
        <v>579</v>
      </c>
      <c r="D84" s="287">
        <v>113</v>
      </c>
      <c r="E84" s="288">
        <v>188</v>
      </c>
      <c r="F84" s="638"/>
      <c r="G84" s="641"/>
      <c r="H84" s="624"/>
      <c r="I84" s="663">
        <f>+AVERAGE(C84:C89)</f>
        <v>1260.3333333333333</v>
      </c>
      <c r="J84" s="641">
        <f>+AVERAGE(D84:D89)</f>
        <v>91.333333333333329</v>
      </c>
      <c r="K84" s="624">
        <f>+AVERAGE(E84:E89)</f>
        <v>179</v>
      </c>
      <c r="N84" s="26" t="s">
        <v>386</v>
      </c>
      <c r="O84" s="100">
        <f>+I85</f>
        <v>1423</v>
      </c>
      <c r="P84" s="100">
        <f>+J85</f>
        <v>79.055555555555557</v>
      </c>
      <c r="Q84" s="101">
        <f>+K85</f>
        <v>143.5</v>
      </c>
    </row>
    <row r="85" spans="2:17" x14ac:dyDescent="0.25">
      <c r="B85" s="467" t="s">
        <v>386</v>
      </c>
      <c r="C85" s="352">
        <v>1000</v>
      </c>
      <c r="D85" s="352">
        <v>77</v>
      </c>
      <c r="E85" s="353">
        <v>204</v>
      </c>
      <c r="F85" s="666">
        <f>+SUM(C85:C102)</f>
        <v>25614</v>
      </c>
      <c r="G85" s="669">
        <f>+SUM(D85:D102)</f>
        <v>1423</v>
      </c>
      <c r="H85" s="672">
        <f>+SUM(E85:E102)</f>
        <v>2583</v>
      </c>
      <c r="I85" s="669">
        <f>+AVERAGE(C85:C102)</f>
        <v>1423</v>
      </c>
      <c r="J85" s="669">
        <f>+AVERAGE(D85:D102)</f>
        <v>79.055555555555557</v>
      </c>
      <c r="K85" s="672">
        <f>+AVERAGE(E85:E102)</f>
        <v>143.5</v>
      </c>
      <c r="N85" s="78" t="s">
        <v>276</v>
      </c>
      <c r="O85" s="98">
        <f>+I103</f>
        <v>491.90697674418607</v>
      </c>
      <c r="P85" s="98">
        <f>+J103</f>
        <v>48.255813953488371</v>
      </c>
      <c r="Q85" s="99">
        <f>+K103</f>
        <v>126.30232558139535</v>
      </c>
    </row>
    <row r="86" spans="2:17" x14ac:dyDescent="0.25">
      <c r="B86" s="468"/>
      <c r="C86" s="354">
        <v>2800</v>
      </c>
      <c r="D86" s="354">
        <v>116</v>
      </c>
      <c r="E86" s="355">
        <v>211</v>
      </c>
      <c r="F86" s="667"/>
      <c r="G86" s="670"/>
      <c r="H86" s="673"/>
      <c r="I86" s="670"/>
      <c r="J86" s="670"/>
      <c r="K86" s="673"/>
      <c r="N86" s="26" t="s">
        <v>302</v>
      </c>
      <c r="O86" s="100">
        <f>+I146</f>
        <v>473.75</v>
      </c>
      <c r="P86" s="100">
        <f>+J146</f>
        <v>39</v>
      </c>
      <c r="Q86" s="101">
        <f>+K146</f>
        <v>67.25</v>
      </c>
    </row>
    <row r="87" spans="2:17" ht="15.75" thickBot="1" x14ac:dyDescent="0.3">
      <c r="B87" s="468"/>
      <c r="C87" s="356">
        <v>691</v>
      </c>
      <c r="D87" s="356">
        <v>52</v>
      </c>
      <c r="E87" s="357">
        <v>41</v>
      </c>
      <c r="F87" s="667"/>
      <c r="G87" s="670"/>
      <c r="H87" s="673"/>
      <c r="I87" s="670"/>
      <c r="J87" s="670"/>
      <c r="K87" s="673"/>
      <c r="N87" s="80" t="s">
        <v>345</v>
      </c>
      <c r="O87" s="329">
        <f>+I150</f>
        <v>1224.5999999999999</v>
      </c>
      <c r="P87" s="107">
        <f>+J150</f>
        <v>45.2</v>
      </c>
      <c r="Q87" s="108">
        <f>+K150</f>
        <v>473.4</v>
      </c>
    </row>
    <row r="88" spans="2:17" x14ac:dyDescent="0.25">
      <c r="B88" s="468"/>
      <c r="C88" s="354">
        <v>592</v>
      </c>
      <c r="D88" s="354">
        <v>36</v>
      </c>
      <c r="E88" s="355">
        <v>106</v>
      </c>
      <c r="F88" s="667"/>
      <c r="G88" s="670"/>
      <c r="H88" s="673"/>
      <c r="I88" s="670"/>
      <c r="J88" s="670"/>
      <c r="K88" s="673"/>
    </row>
    <row r="89" spans="2:17" x14ac:dyDescent="0.25">
      <c r="B89" s="468"/>
      <c r="C89" s="352">
        <v>1900</v>
      </c>
      <c r="D89" s="352">
        <v>154</v>
      </c>
      <c r="E89" s="353">
        <v>324</v>
      </c>
      <c r="F89" s="667"/>
      <c r="G89" s="670"/>
      <c r="H89" s="673"/>
      <c r="I89" s="670"/>
      <c r="J89" s="670"/>
      <c r="K89" s="673"/>
    </row>
    <row r="90" spans="2:17" x14ac:dyDescent="0.25">
      <c r="B90" s="468"/>
      <c r="C90" s="358">
        <v>1800</v>
      </c>
      <c r="D90" s="358">
        <v>46</v>
      </c>
      <c r="E90" s="359">
        <v>164</v>
      </c>
      <c r="F90" s="667"/>
      <c r="G90" s="670"/>
      <c r="H90" s="673"/>
      <c r="I90" s="670"/>
      <c r="J90" s="670"/>
      <c r="K90" s="673"/>
    </row>
    <row r="91" spans="2:17" x14ac:dyDescent="0.25">
      <c r="B91" s="468"/>
      <c r="C91" s="352">
        <v>355</v>
      </c>
      <c r="D91" s="352">
        <v>51</v>
      </c>
      <c r="E91" s="353">
        <v>41</v>
      </c>
      <c r="F91" s="667"/>
      <c r="G91" s="670"/>
      <c r="H91" s="673"/>
      <c r="I91" s="670"/>
      <c r="J91" s="670"/>
      <c r="K91" s="673"/>
    </row>
    <row r="92" spans="2:17" x14ac:dyDescent="0.25">
      <c r="B92" s="468"/>
      <c r="C92" s="354">
        <v>885</v>
      </c>
      <c r="D92" s="354">
        <v>28</v>
      </c>
      <c r="E92" s="355">
        <v>98</v>
      </c>
      <c r="F92" s="667"/>
      <c r="G92" s="670"/>
      <c r="H92" s="673"/>
      <c r="I92" s="670"/>
      <c r="J92" s="670"/>
      <c r="K92" s="673"/>
    </row>
    <row r="93" spans="2:17" x14ac:dyDescent="0.25">
      <c r="B93" s="468"/>
      <c r="C93" s="352">
        <v>422</v>
      </c>
      <c r="D93" s="352">
        <v>33</v>
      </c>
      <c r="E93" s="353">
        <v>50</v>
      </c>
      <c r="F93" s="667"/>
      <c r="G93" s="670"/>
      <c r="H93" s="673"/>
      <c r="I93" s="670"/>
      <c r="J93" s="670"/>
      <c r="K93" s="673"/>
    </row>
    <row r="94" spans="2:17" x14ac:dyDescent="0.25">
      <c r="B94" s="468"/>
      <c r="C94" s="354">
        <v>229</v>
      </c>
      <c r="D94" s="354">
        <v>35</v>
      </c>
      <c r="E94" s="355">
        <v>62</v>
      </c>
      <c r="F94" s="667"/>
      <c r="G94" s="670"/>
      <c r="H94" s="673"/>
      <c r="I94" s="670"/>
      <c r="J94" s="670"/>
      <c r="K94" s="673"/>
    </row>
    <row r="95" spans="2:17" x14ac:dyDescent="0.25">
      <c r="B95" s="468"/>
      <c r="C95" s="352">
        <v>1800</v>
      </c>
      <c r="D95" s="352">
        <v>54</v>
      </c>
      <c r="E95" s="353">
        <v>56</v>
      </c>
      <c r="F95" s="667"/>
      <c r="G95" s="670"/>
      <c r="H95" s="673"/>
      <c r="I95" s="670"/>
      <c r="J95" s="670"/>
      <c r="K95" s="673"/>
    </row>
    <row r="96" spans="2:17" x14ac:dyDescent="0.25">
      <c r="B96" s="468"/>
      <c r="C96" s="354">
        <v>785</v>
      </c>
      <c r="D96" s="354">
        <v>155</v>
      </c>
      <c r="E96" s="355">
        <v>145</v>
      </c>
      <c r="F96" s="667"/>
      <c r="G96" s="670"/>
      <c r="H96" s="673"/>
      <c r="I96" s="670"/>
      <c r="J96" s="670"/>
      <c r="K96" s="673"/>
    </row>
    <row r="97" spans="2:11" x14ac:dyDescent="0.25">
      <c r="B97" s="468"/>
      <c r="C97" s="352">
        <v>313</v>
      </c>
      <c r="D97" s="352">
        <v>14</v>
      </c>
      <c r="E97" s="353">
        <v>40</v>
      </c>
      <c r="F97" s="667"/>
      <c r="G97" s="670"/>
      <c r="H97" s="673"/>
      <c r="I97" s="670"/>
      <c r="J97" s="670"/>
      <c r="K97" s="673"/>
    </row>
    <row r="98" spans="2:11" x14ac:dyDescent="0.25">
      <c r="B98" s="468"/>
      <c r="C98" s="356">
        <v>429</v>
      </c>
      <c r="D98" s="356">
        <v>74</v>
      </c>
      <c r="E98" s="357">
        <v>60</v>
      </c>
      <c r="F98" s="667"/>
      <c r="G98" s="670"/>
      <c r="H98" s="673"/>
      <c r="I98" s="670"/>
      <c r="J98" s="670"/>
      <c r="K98" s="673"/>
    </row>
    <row r="99" spans="2:11" x14ac:dyDescent="0.25">
      <c r="B99" s="468"/>
      <c r="C99" s="352">
        <v>1800</v>
      </c>
      <c r="D99" s="352">
        <v>34</v>
      </c>
      <c r="E99" s="353">
        <v>78</v>
      </c>
      <c r="F99" s="667"/>
      <c r="G99" s="670"/>
      <c r="H99" s="673"/>
      <c r="I99" s="670"/>
      <c r="J99" s="670"/>
      <c r="K99" s="673"/>
    </row>
    <row r="100" spans="2:11" x14ac:dyDescent="0.25">
      <c r="B100" s="468"/>
      <c r="C100" s="354">
        <v>516</v>
      </c>
      <c r="D100" s="354">
        <v>139</v>
      </c>
      <c r="E100" s="355">
        <v>122</v>
      </c>
      <c r="F100" s="667"/>
      <c r="G100" s="670"/>
      <c r="H100" s="673"/>
      <c r="I100" s="670"/>
      <c r="J100" s="670"/>
      <c r="K100" s="673"/>
    </row>
    <row r="101" spans="2:11" x14ac:dyDescent="0.25">
      <c r="B101" s="468"/>
      <c r="C101" s="352">
        <v>180</v>
      </c>
      <c r="D101" s="352">
        <v>27</v>
      </c>
      <c r="E101" s="353">
        <v>13</v>
      </c>
      <c r="F101" s="667"/>
      <c r="G101" s="670"/>
      <c r="H101" s="673"/>
      <c r="I101" s="670"/>
      <c r="J101" s="670"/>
      <c r="K101" s="673"/>
    </row>
    <row r="102" spans="2:11" x14ac:dyDescent="0.25">
      <c r="B102" s="468"/>
      <c r="C102" s="354">
        <v>9117</v>
      </c>
      <c r="D102" s="354">
        <v>298</v>
      </c>
      <c r="E102" s="355">
        <v>768</v>
      </c>
      <c r="F102" s="668"/>
      <c r="G102" s="671"/>
      <c r="H102" s="674"/>
      <c r="I102" s="671"/>
      <c r="J102" s="671"/>
      <c r="K102" s="674"/>
    </row>
    <row r="103" spans="2:11" x14ac:dyDescent="0.25">
      <c r="B103" s="471" t="s">
        <v>276</v>
      </c>
      <c r="C103" s="285">
        <v>402</v>
      </c>
      <c r="D103" s="285">
        <v>65</v>
      </c>
      <c r="E103" s="286">
        <v>89</v>
      </c>
      <c r="F103" s="679">
        <f>+SUM(C103:C145)</f>
        <v>21152</v>
      </c>
      <c r="G103" s="681">
        <f>+SUM(D103:D145)</f>
        <v>2075</v>
      </c>
      <c r="H103" s="683">
        <f>+SUM(E103:E145)</f>
        <v>5431</v>
      </c>
      <c r="I103" s="681">
        <f>+AVERAGE(C103:C145)</f>
        <v>491.90697674418607</v>
      </c>
      <c r="J103" s="681">
        <f>+AVERAGE(D103:D145)</f>
        <v>48.255813953488371</v>
      </c>
      <c r="K103" s="683">
        <f>+AVERAGE(E103:E145)</f>
        <v>126.30232558139535</v>
      </c>
    </row>
    <row r="104" spans="2:11" x14ac:dyDescent="0.25">
      <c r="B104" s="471"/>
      <c r="C104" s="287">
        <v>347</v>
      </c>
      <c r="D104" s="287">
        <v>51</v>
      </c>
      <c r="E104" s="288">
        <v>50</v>
      </c>
      <c r="F104" s="506"/>
      <c r="G104" s="508"/>
      <c r="H104" s="510"/>
      <c r="I104" s="508"/>
      <c r="J104" s="508"/>
      <c r="K104" s="510"/>
    </row>
    <row r="105" spans="2:11" x14ac:dyDescent="0.25">
      <c r="B105" s="471"/>
      <c r="C105" s="285">
        <v>289</v>
      </c>
      <c r="D105" s="285">
        <v>43</v>
      </c>
      <c r="E105" s="286">
        <v>62</v>
      </c>
      <c r="F105" s="506"/>
      <c r="G105" s="508"/>
      <c r="H105" s="510"/>
      <c r="I105" s="508"/>
      <c r="J105" s="508"/>
      <c r="K105" s="510"/>
    </row>
    <row r="106" spans="2:11" x14ac:dyDescent="0.25">
      <c r="B106" s="471"/>
      <c r="C106" s="287">
        <v>91</v>
      </c>
      <c r="D106" s="287">
        <v>34</v>
      </c>
      <c r="E106" s="288">
        <v>8</v>
      </c>
      <c r="F106" s="506"/>
      <c r="G106" s="508"/>
      <c r="H106" s="510"/>
      <c r="I106" s="508"/>
      <c r="J106" s="508"/>
      <c r="K106" s="510"/>
    </row>
    <row r="107" spans="2:11" x14ac:dyDescent="0.25">
      <c r="B107" s="471"/>
      <c r="C107" s="285">
        <v>420</v>
      </c>
      <c r="D107" s="285">
        <v>45</v>
      </c>
      <c r="E107" s="286">
        <v>173</v>
      </c>
      <c r="F107" s="506"/>
      <c r="G107" s="508"/>
      <c r="H107" s="510"/>
      <c r="I107" s="508"/>
      <c r="J107" s="508"/>
      <c r="K107" s="510"/>
    </row>
    <row r="108" spans="2:11" x14ac:dyDescent="0.25">
      <c r="B108" s="471"/>
      <c r="C108" s="287">
        <v>349</v>
      </c>
      <c r="D108" s="287">
        <v>49</v>
      </c>
      <c r="E108" s="288">
        <v>40</v>
      </c>
      <c r="F108" s="506"/>
      <c r="G108" s="508"/>
      <c r="H108" s="510"/>
      <c r="I108" s="508"/>
      <c r="J108" s="508"/>
      <c r="K108" s="510"/>
    </row>
    <row r="109" spans="2:11" x14ac:dyDescent="0.25">
      <c r="B109" s="471"/>
      <c r="C109" s="285">
        <v>856</v>
      </c>
      <c r="D109" s="285">
        <v>54</v>
      </c>
      <c r="E109" s="286">
        <v>174</v>
      </c>
      <c r="F109" s="506"/>
      <c r="G109" s="508"/>
      <c r="H109" s="510"/>
      <c r="I109" s="508"/>
      <c r="J109" s="508"/>
      <c r="K109" s="510"/>
    </row>
    <row r="110" spans="2:11" x14ac:dyDescent="0.25">
      <c r="B110" s="471"/>
      <c r="C110" s="287">
        <v>369</v>
      </c>
      <c r="D110" s="287">
        <v>99</v>
      </c>
      <c r="E110" s="288">
        <v>124</v>
      </c>
      <c r="F110" s="506"/>
      <c r="G110" s="508"/>
      <c r="H110" s="510"/>
      <c r="I110" s="508"/>
      <c r="J110" s="508"/>
      <c r="K110" s="510"/>
    </row>
    <row r="111" spans="2:11" x14ac:dyDescent="0.25">
      <c r="B111" s="471"/>
      <c r="C111" s="289">
        <v>445</v>
      </c>
      <c r="D111" s="289">
        <v>55</v>
      </c>
      <c r="E111" s="290">
        <v>63</v>
      </c>
      <c r="F111" s="506"/>
      <c r="G111" s="508"/>
      <c r="H111" s="510"/>
      <c r="I111" s="508"/>
      <c r="J111" s="508"/>
      <c r="K111" s="510"/>
    </row>
    <row r="112" spans="2:11" x14ac:dyDescent="0.25">
      <c r="B112" s="471"/>
      <c r="C112" s="287">
        <v>928</v>
      </c>
      <c r="D112" s="287">
        <v>55</v>
      </c>
      <c r="E112" s="288">
        <v>88</v>
      </c>
      <c r="F112" s="506"/>
      <c r="G112" s="508"/>
      <c r="H112" s="510"/>
      <c r="I112" s="508"/>
      <c r="J112" s="508"/>
      <c r="K112" s="510"/>
    </row>
    <row r="113" spans="2:11" x14ac:dyDescent="0.25">
      <c r="B113" s="471"/>
      <c r="C113" s="289">
        <v>981</v>
      </c>
      <c r="D113" s="289">
        <v>67</v>
      </c>
      <c r="E113" s="290">
        <v>130</v>
      </c>
      <c r="F113" s="506"/>
      <c r="G113" s="508"/>
      <c r="H113" s="510"/>
      <c r="I113" s="508"/>
      <c r="J113" s="508"/>
      <c r="K113" s="510"/>
    </row>
    <row r="114" spans="2:11" x14ac:dyDescent="0.25">
      <c r="B114" s="471"/>
      <c r="C114" s="287">
        <v>632</v>
      </c>
      <c r="D114" s="287">
        <v>96</v>
      </c>
      <c r="E114" s="288">
        <v>221</v>
      </c>
      <c r="F114" s="506"/>
      <c r="G114" s="508"/>
      <c r="H114" s="510"/>
      <c r="I114" s="508"/>
      <c r="J114" s="508"/>
      <c r="K114" s="510"/>
    </row>
    <row r="115" spans="2:11" x14ac:dyDescent="0.25">
      <c r="B115" s="471"/>
      <c r="C115" s="285">
        <v>227</v>
      </c>
      <c r="D115" s="285">
        <v>36</v>
      </c>
      <c r="E115" s="286">
        <v>82</v>
      </c>
      <c r="F115" s="506"/>
      <c r="G115" s="508"/>
      <c r="H115" s="510"/>
      <c r="I115" s="508"/>
      <c r="J115" s="508"/>
      <c r="K115" s="510"/>
    </row>
    <row r="116" spans="2:11" x14ac:dyDescent="0.25">
      <c r="B116" s="471"/>
      <c r="C116" s="287">
        <v>224</v>
      </c>
      <c r="D116" s="287">
        <v>21</v>
      </c>
      <c r="E116" s="288">
        <v>107</v>
      </c>
      <c r="F116" s="506"/>
      <c r="G116" s="508"/>
      <c r="H116" s="510"/>
      <c r="I116" s="508"/>
      <c r="J116" s="508"/>
      <c r="K116" s="510"/>
    </row>
    <row r="117" spans="2:11" x14ac:dyDescent="0.25">
      <c r="B117" s="471"/>
      <c r="C117" s="285">
        <v>428</v>
      </c>
      <c r="D117" s="285">
        <v>35</v>
      </c>
      <c r="E117" s="286">
        <v>60</v>
      </c>
      <c r="F117" s="506"/>
      <c r="G117" s="508"/>
      <c r="H117" s="510"/>
      <c r="I117" s="508"/>
      <c r="J117" s="508"/>
      <c r="K117" s="510"/>
    </row>
    <row r="118" spans="2:11" x14ac:dyDescent="0.25">
      <c r="B118" s="471"/>
      <c r="C118" s="287">
        <v>34</v>
      </c>
      <c r="D118" s="287">
        <v>5</v>
      </c>
      <c r="E118" s="288">
        <v>12</v>
      </c>
      <c r="F118" s="506"/>
      <c r="G118" s="508"/>
      <c r="H118" s="510"/>
      <c r="I118" s="508"/>
      <c r="J118" s="508"/>
      <c r="K118" s="510"/>
    </row>
    <row r="119" spans="2:11" x14ac:dyDescent="0.25">
      <c r="B119" s="471"/>
      <c r="C119" s="285">
        <v>3200</v>
      </c>
      <c r="D119" s="285">
        <v>92</v>
      </c>
      <c r="E119" s="286">
        <v>1917</v>
      </c>
      <c r="F119" s="506"/>
      <c r="G119" s="508"/>
      <c r="H119" s="510"/>
      <c r="I119" s="508"/>
      <c r="J119" s="508"/>
      <c r="K119" s="510"/>
    </row>
    <row r="120" spans="2:11" x14ac:dyDescent="0.25">
      <c r="B120" s="471"/>
      <c r="C120" s="287">
        <v>680</v>
      </c>
      <c r="D120" s="287">
        <v>39</v>
      </c>
      <c r="E120" s="288">
        <v>73</v>
      </c>
      <c r="F120" s="506"/>
      <c r="G120" s="508"/>
      <c r="H120" s="510"/>
      <c r="I120" s="508"/>
      <c r="J120" s="508"/>
      <c r="K120" s="510"/>
    </row>
    <row r="121" spans="2:11" x14ac:dyDescent="0.25">
      <c r="B121" s="471"/>
      <c r="C121" s="285">
        <v>139</v>
      </c>
      <c r="D121" s="285">
        <v>22</v>
      </c>
      <c r="E121" s="286">
        <v>50</v>
      </c>
      <c r="F121" s="506"/>
      <c r="G121" s="508"/>
      <c r="H121" s="510"/>
      <c r="I121" s="508"/>
      <c r="J121" s="508"/>
      <c r="K121" s="510"/>
    </row>
    <row r="122" spans="2:11" x14ac:dyDescent="0.25">
      <c r="B122" s="471"/>
      <c r="C122" s="287">
        <v>875</v>
      </c>
      <c r="D122" s="287">
        <v>28</v>
      </c>
      <c r="E122" s="288">
        <v>127</v>
      </c>
      <c r="F122" s="506"/>
      <c r="G122" s="508"/>
      <c r="H122" s="510"/>
      <c r="I122" s="508"/>
      <c r="J122" s="508"/>
      <c r="K122" s="510"/>
    </row>
    <row r="123" spans="2:11" x14ac:dyDescent="0.25">
      <c r="B123" s="471"/>
      <c r="C123" s="289">
        <v>485</v>
      </c>
      <c r="D123" s="289">
        <v>54</v>
      </c>
      <c r="E123" s="290">
        <v>91</v>
      </c>
      <c r="F123" s="506"/>
      <c r="G123" s="508"/>
      <c r="H123" s="510"/>
      <c r="I123" s="508"/>
      <c r="J123" s="508"/>
      <c r="K123" s="510"/>
    </row>
    <row r="124" spans="2:11" x14ac:dyDescent="0.25">
      <c r="B124" s="471"/>
      <c r="C124" s="287">
        <v>318</v>
      </c>
      <c r="D124" s="287">
        <v>21</v>
      </c>
      <c r="E124" s="288">
        <v>75</v>
      </c>
      <c r="F124" s="506"/>
      <c r="G124" s="508"/>
      <c r="H124" s="510"/>
      <c r="I124" s="508"/>
      <c r="J124" s="508"/>
      <c r="K124" s="510"/>
    </row>
    <row r="125" spans="2:11" x14ac:dyDescent="0.25">
      <c r="B125" s="471"/>
      <c r="C125" s="285">
        <v>624</v>
      </c>
      <c r="D125" s="285">
        <v>36</v>
      </c>
      <c r="E125" s="286">
        <v>67</v>
      </c>
      <c r="F125" s="506"/>
      <c r="G125" s="508"/>
      <c r="H125" s="510"/>
      <c r="I125" s="508"/>
      <c r="J125" s="508"/>
      <c r="K125" s="510"/>
    </row>
    <row r="126" spans="2:11" x14ac:dyDescent="0.25">
      <c r="B126" s="471"/>
      <c r="C126" s="287">
        <v>234</v>
      </c>
      <c r="D126" s="287">
        <v>114</v>
      </c>
      <c r="E126" s="288">
        <v>28</v>
      </c>
      <c r="F126" s="506"/>
      <c r="G126" s="508"/>
      <c r="H126" s="510"/>
      <c r="I126" s="508"/>
      <c r="J126" s="508"/>
      <c r="K126" s="510"/>
    </row>
    <row r="127" spans="2:11" x14ac:dyDescent="0.25">
      <c r="B127" s="471"/>
      <c r="C127" s="285">
        <v>203</v>
      </c>
      <c r="D127" s="285">
        <v>25</v>
      </c>
      <c r="E127" s="286">
        <v>23</v>
      </c>
      <c r="F127" s="506"/>
      <c r="G127" s="508"/>
      <c r="H127" s="510"/>
      <c r="I127" s="508"/>
      <c r="J127" s="508"/>
      <c r="K127" s="510"/>
    </row>
    <row r="128" spans="2:11" x14ac:dyDescent="0.25">
      <c r="B128" s="471"/>
      <c r="C128" s="287">
        <v>501</v>
      </c>
      <c r="D128" s="287">
        <v>55</v>
      </c>
      <c r="E128" s="288">
        <v>77</v>
      </c>
      <c r="F128" s="506"/>
      <c r="G128" s="508"/>
      <c r="H128" s="510"/>
      <c r="I128" s="508"/>
      <c r="J128" s="508"/>
      <c r="K128" s="510"/>
    </row>
    <row r="129" spans="2:11" x14ac:dyDescent="0.25">
      <c r="B129" s="471"/>
      <c r="C129" s="285">
        <v>214</v>
      </c>
      <c r="D129" s="285">
        <v>23</v>
      </c>
      <c r="E129" s="286">
        <v>130</v>
      </c>
      <c r="F129" s="506"/>
      <c r="G129" s="508"/>
      <c r="H129" s="510"/>
      <c r="I129" s="508"/>
      <c r="J129" s="508"/>
      <c r="K129" s="510"/>
    </row>
    <row r="130" spans="2:11" x14ac:dyDescent="0.25">
      <c r="B130" s="471"/>
      <c r="C130" s="287">
        <v>549</v>
      </c>
      <c r="D130" s="287">
        <v>60</v>
      </c>
      <c r="E130" s="288">
        <v>70</v>
      </c>
      <c r="F130" s="506"/>
      <c r="G130" s="508"/>
      <c r="H130" s="510"/>
      <c r="I130" s="508"/>
      <c r="J130" s="508"/>
      <c r="K130" s="510"/>
    </row>
    <row r="131" spans="2:11" x14ac:dyDescent="0.25">
      <c r="B131" s="471"/>
      <c r="C131" s="285">
        <v>537</v>
      </c>
      <c r="D131" s="285">
        <v>58</v>
      </c>
      <c r="E131" s="286">
        <v>79</v>
      </c>
      <c r="F131" s="506"/>
      <c r="G131" s="508"/>
      <c r="H131" s="510"/>
      <c r="I131" s="508"/>
      <c r="J131" s="508"/>
      <c r="K131" s="510"/>
    </row>
    <row r="132" spans="2:11" x14ac:dyDescent="0.25">
      <c r="B132" s="471"/>
      <c r="C132" s="287">
        <v>384</v>
      </c>
      <c r="D132" s="287">
        <v>66</v>
      </c>
      <c r="E132" s="288">
        <v>225</v>
      </c>
      <c r="F132" s="506"/>
      <c r="G132" s="508"/>
      <c r="H132" s="510"/>
      <c r="I132" s="508"/>
      <c r="J132" s="508"/>
      <c r="K132" s="510"/>
    </row>
    <row r="133" spans="2:11" x14ac:dyDescent="0.25">
      <c r="B133" s="471"/>
      <c r="C133" s="289">
        <v>243</v>
      </c>
      <c r="D133" s="289">
        <v>15</v>
      </c>
      <c r="E133" s="290">
        <v>38</v>
      </c>
      <c r="F133" s="506"/>
      <c r="G133" s="508"/>
      <c r="H133" s="510"/>
      <c r="I133" s="508"/>
      <c r="J133" s="508"/>
      <c r="K133" s="510"/>
    </row>
    <row r="134" spans="2:11" x14ac:dyDescent="0.25">
      <c r="B134" s="471"/>
      <c r="C134" s="289">
        <v>430</v>
      </c>
      <c r="D134" s="289">
        <v>64</v>
      </c>
      <c r="E134" s="290">
        <v>84</v>
      </c>
      <c r="F134" s="506"/>
      <c r="G134" s="508"/>
      <c r="H134" s="510"/>
      <c r="I134" s="508"/>
      <c r="J134" s="508"/>
      <c r="K134" s="510"/>
    </row>
    <row r="135" spans="2:11" x14ac:dyDescent="0.25">
      <c r="B135" s="471"/>
      <c r="C135" s="289">
        <v>493</v>
      </c>
      <c r="D135" s="289">
        <v>18</v>
      </c>
      <c r="E135" s="290">
        <v>99</v>
      </c>
      <c r="F135" s="506"/>
      <c r="G135" s="508"/>
      <c r="H135" s="510"/>
      <c r="I135" s="508"/>
      <c r="J135" s="508"/>
      <c r="K135" s="510"/>
    </row>
    <row r="136" spans="2:11" x14ac:dyDescent="0.25">
      <c r="B136" s="471"/>
      <c r="C136" s="289">
        <v>463</v>
      </c>
      <c r="D136" s="289">
        <v>30</v>
      </c>
      <c r="E136" s="290">
        <v>1</v>
      </c>
      <c r="F136" s="506"/>
      <c r="G136" s="508"/>
      <c r="H136" s="510"/>
      <c r="I136" s="508"/>
      <c r="J136" s="508"/>
      <c r="K136" s="510"/>
    </row>
    <row r="137" spans="2:11" x14ac:dyDescent="0.25">
      <c r="B137" s="471"/>
      <c r="C137" s="289">
        <v>242</v>
      </c>
      <c r="D137" s="289">
        <v>31</v>
      </c>
      <c r="E137" s="290">
        <v>72</v>
      </c>
      <c r="F137" s="506"/>
      <c r="G137" s="508"/>
      <c r="H137" s="510"/>
      <c r="I137" s="508"/>
      <c r="J137" s="508"/>
      <c r="K137" s="510"/>
    </row>
    <row r="138" spans="2:11" x14ac:dyDescent="0.25">
      <c r="B138" s="471"/>
      <c r="C138" s="289">
        <v>764</v>
      </c>
      <c r="D138" s="289">
        <v>40</v>
      </c>
      <c r="E138" s="290">
        <v>244</v>
      </c>
      <c r="F138" s="506"/>
      <c r="G138" s="508"/>
      <c r="H138" s="510"/>
      <c r="I138" s="508"/>
      <c r="J138" s="508"/>
      <c r="K138" s="510"/>
    </row>
    <row r="139" spans="2:11" x14ac:dyDescent="0.25">
      <c r="B139" s="471"/>
      <c r="C139" s="285">
        <v>191</v>
      </c>
      <c r="D139" s="285">
        <v>12</v>
      </c>
      <c r="E139" s="286">
        <v>35</v>
      </c>
      <c r="F139" s="506"/>
      <c r="G139" s="508"/>
      <c r="H139" s="510"/>
      <c r="I139" s="508"/>
      <c r="J139" s="508"/>
      <c r="K139" s="510"/>
    </row>
    <row r="140" spans="2:11" x14ac:dyDescent="0.25">
      <c r="B140" s="471"/>
      <c r="C140" s="287">
        <v>283</v>
      </c>
      <c r="D140" s="287">
        <v>62</v>
      </c>
      <c r="E140" s="288">
        <v>22</v>
      </c>
      <c r="F140" s="506"/>
      <c r="G140" s="508"/>
      <c r="H140" s="510"/>
      <c r="I140" s="508"/>
      <c r="J140" s="508"/>
      <c r="K140" s="510"/>
    </row>
    <row r="141" spans="2:11" x14ac:dyDescent="0.25">
      <c r="B141" s="471"/>
      <c r="C141" s="285">
        <v>871</v>
      </c>
      <c r="D141" s="285">
        <v>82</v>
      </c>
      <c r="E141" s="286">
        <v>66</v>
      </c>
      <c r="F141" s="506"/>
      <c r="G141" s="508"/>
      <c r="H141" s="510"/>
      <c r="I141" s="508"/>
      <c r="J141" s="508"/>
      <c r="K141" s="510"/>
    </row>
    <row r="142" spans="2:11" x14ac:dyDescent="0.25">
      <c r="B142" s="471"/>
      <c r="C142" s="287">
        <v>98</v>
      </c>
      <c r="D142" s="287">
        <v>18</v>
      </c>
      <c r="E142" s="288">
        <v>20</v>
      </c>
      <c r="F142" s="506"/>
      <c r="G142" s="508"/>
      <c r="H142" s="510"/>
      <c r="I142" s="508"/>
      <c r="J142" s="508"/>
      <c r="K142" s="510"/>
    </row>
    <row r="143" spans="2:11" x14ac:dyDescent="0.25">
      <c r="B143" s="471"/>
      <c r="C143" s="285">
        <v>739</v>
      </c>
      <c r="D143" s="285">
        <v>99</v>
      </c>
      <c r="E143" s="286">
        <v>143</v>
      </c>
      <c r="F143" s="506"/>
      <c r="G143" s="508"/>
      <c r="H143" s="510"/>
      <c r="I143" s="508"/>
      <c r="J143" s="508"/>
      <c r="K143" s="510"/>
    </row>
    <row r="144" spans="2:11" x14ac:dyDescent="0.25">
      <c r="B144" s="471"/>
      <c r="C144" s="287">
        <v>255</v>
      </c>
      <c r="D144" s="287">
        <v>82</v>
      </c>
      <c r="E144" s="288">
        <v>51</v>
      </c>
      <c r="F144" s="506"/>
      <c r="G144" s="508"/>
      <c r="H144" s="510"/>
      <c r="I144" s="508"/>
      <c r="J144" s="508"/>
      <c r="K144" s="510"/>
    </row>
    <row r="145" spans="1:34" x14ac:dyDescent="0.25">
      <c r="B145" s="471"/>
      <c r="C145" s="285">
        <v>115</v>
      </c>
      <c r="D145" s="285">
        <v>19</v>
      </c>
      <c r="E145" s="286">
        <v>41</v>
      </c>
      <c r="F145" s="680"/>
      <c r="G145" s="682"/>
      <c r="H145" s="684"/>
      <c r="I145" s="682"/>
      <c r="J145" s="682"/>
      <c r="K145" s="684"/>
    </row>
    <row r="146" spans="1:34" x14ac:dyDescent="0.25">
      <c r="B146" s="468" t="s">
        <v>302</v>
      </c>
      <c r="C146" s="354">
        <v>41</v>
      </c>
      <c r="D146" s="354">
        <v>15</v>
      </c>
      <c r="E146" s="355">
        <v>7</v>
      </c>
      <c r="F146" s="630">
        <f>+SUM(C146:C149)</f>
        <v>1895</v>
      </c>
      <c r="G146" s="632">
        <f>+SUM(D146:D149)</f>
        <v>156</v>
      </c>
      <c r="H146" s="634">
        <f>+SUM(E146:E149)</f>
        <v>269</v>
      </c>
      <c r="I146" s="635">
        <f>+AVERAGE(C146:C149)</f>
        <v>473.75</v>
      </c>
      <c r="J146" s="632">
        <f>+AVERAGE(D146:D149)</f>
        <v>39</v>
      </c>
      <c r="K146" s="634">
        <f>+AVERAGE(E146:E149)</f>
        <v>67.25</v>
      </c>
    </row>
    <row r="147" spans="1:34" x14ac:dyDescent="0.25">
      <c r="B147" s="468"/>
      <c r="C147" s="352">
        <v>116</v>
      </c>
      <c r="D147" s="352">
        <v>13</v>
      </c>
      <c r="E147" s="353">
        <v>12</v>
      </c>
      <c r="F147" s="631"/>
      <c r="G147" s="633"/>
      <c r="H147" s="546"/>
      <c r="I147" s="636"/>
      <c r="J147" s="633"/>
      <c r="K147" s="546"/>
    </row>
    <row r="148" spans="1:34" x14ac:dyDescent="0.25">
      <c r="B148" s="468"/>
      <c r="C148" s="354">
        <v>338</v>
      </c>
      <c r="D148" s="354">
        <v>41</v>
      </c>
      <c r="E148" s="355">
        <v>64</v>
      </c>
      <c r="F148" s="631"/>
      <c r="G148" s="633"/>
      <c r="H148" s="546"/>
      <c r="I148" s="636"/>
      <c r="J148" s="633"/>
      <c r="K148" s="546"/>
    </row>
    <row r="149" spans="1:34" x14ac:dyDescent="0.25">
      <c r="B149" s="469"/>
      <c r="C149" s="352">
        <v>1400</v>
      </c>
      <c r="D149" s="352">
        <v>87</v>
      </c>
      <c r="E149" s="353">
        <v>186</v>
      </c>
      <c r="F149" s="675"/>
      <c r="G149" s="676"/>
      <c r="H149" s="677"/>
      <c r="I149" s="678"/>
      <c r="J149" s="676"/>
      <c r="K149" s="677"/>
    </row>
    <row r="150" spans="1:34" x14ac:dyDescent="0.25">
      <c r="B150" s="527" t="s">
        <v>345</v>
      </c>
      <c r="C150" s="287">
        <v>170</v>
      </c>
      <c r="D150" s="287">
        <v>8</v>
      </c>
      <c r="E150" s="288">
        <v>95</v>
      </c>
      <c r="F150" s="638">
        <f>+SUM(C150:C154)</f>
        <v>6123</v>
      </c>
      <c r="G150" s="641">
        <f>+SUM(D150:D154)</f>
        <v>226</v>
      </c>
      <c r="H150" s="624">
        <f>+SUM(E150:E154)</f>
        <v>2367</v>
      </c>
      <c r="I150" s="663">
        <f>+AVERAGE(C150:C154)</f>
        <v>1224.5999999999999</v>
      </c>
      <c r="J150" s="641">
        <f>+AVERAGE(D150:D154)</f>
        <v>45.2</v>
      </c>
      <c r="K150" s="624">
        <f>+AVERAGE(E150:E154)</f>
        <v>473.4</v>
      </c>
    </row>
    <row r="151" spans="1:34" x14ac:dyDescent="0.25">
      <c r="B151" s="528"/>
      <c r="C151" s="285">
        <v>461</v>
      </c>
      <c r="D151" s="285">
        <v>32</v>
      </c>
      <c r="E151" s="286">
        <v>123</v>
      </c>
      <c r="F151" s="639"/>
      <c r="G151" s="642"/>
      <c r="H151" s="625"/>
      <c r="I151" s="664"/>
      <c r="J151" s="642"/>
      <c r="K151" s="625"/>
    </row>
    <row r="152" spans="1:34" x14ac:dyDescent="0.25">
      <c r="B152" s="528"/>
      <c r="C152" s="287">
        <v>4500</v>
      </c>
      <c r="D152" s="287">
        <v>126</v>
      </c>
      <c r="E152" s="288">
        <v>1837</v>
      </c>
      <c r="F152" s="639"/>
      <c r="G152" s="642"/>
      <c r="H152" s="625"/>
      <c r="I152" s="664"/>
      <c r="J152" s="642"/>
      <c r="K152" s="625"/>
    </row>
    <row r="153" spans="1:34" x14ac:dyDescent="0.25">
      <c r="B153" s="528"/>
      <c r="C153" s="285">
        <v>848</v>
      </c>
      <c r="D153" s="285">
        <v>49</v>
      </c>
      <c r="E153" s="286">
        <v>278</v>
      </c>
      <c r="F153" s="639"/>
      <c r="G153" s="642"/>
      <c r="H153" s="625"/>
      <c r="I153" s="664"/>
      <c r="J153" s="642"/>
      <c r="K153" s="625"/>
    </row>
    <row r="154" spans="1:34" ht="15.75" thickBot="1" x14ac:dyDescent="0.3">
      <c r="B154" s="637"/>
      <c r="C154" s="291">
        <v>144</v>
      </c>
      <c r="D154" s="291">
        <v>11</v>
      </c>
      <c r="E154" s="292">
        <v>34</v>
      </c>
      <c r="F154" s="640"/>
      <c r="G154" s="643"/>
      <c r="H154" s="626"/>
      <c r="I154" s="665"/>
      <c r="J154" s="643"/>
      <c r="K154" s="626"/>
    </row>
    <row r="157" spans="1:34" x14ac:dyDescent="0.25">
      <c r="A157" s="13"/>
      <c r="B157" s="14"/>
      <c r="C157" s="13"/>
      <c r="D157" s="13"/>
      <c r="E157" s="13"/>
      <c r="F157" s="14"/>
      <c r="G157" s="14"/>
      <c r="H157" s="14"/>
      <c r="I157" s="14"/>
      <c r="J157" s="14"/>
      <c r="K157" s="14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</row>
    <row r="159" spans="1:34" ht="15.75" thickBot="1" x14ac:dyDescent="0.3"/>
    <row r="160" spans="1:34" ht="27" thickBot="1" x14ac:dyDescent="0.3">
      <c r="B160" s="627" t="s">
        <v>392</v>
      </c>
      <c r="C160" s="628"/>
      <c r="D160" s="628"/>
      <c r="E160" s="628"/>
      <c r="F160" s="628"/>
      <c r="G160" s="628"/>
      <c r="H160" s="628"/>
      <c r="I160" s="628"/>
      <c r="J160" s="628"/>
      <c r="K160" s="629"/>
    </row>
    <row r="161" spans="2:17" ht="21.75" thickBot="1" x14ac:dyDescent="0.4">
      <c r="B161" s="397" t="s">
        <v>399</v>
      </c>
      <c r="C161" s="398"/>
      <c r="D161" s="398"/>
      <c r="E161" s="398"/>
      <c r="F161" s="398"/>
      <c r="G161" s="398"/>
      <c r="H161" s="398"/>
      <c r="I161" s="398"/>
      <c r="J161" s="398"/>
      <c r="K161" s="399"/>
    </row>
    <row r="162" spans="2:17" ht="15.75" thickBot="1" x14ac:dyDescent="0.3"/>
    <row r="163" spans="2:17" ht="19.5" thickBot="1" x14ac:dyDescent="0.3">
      <c r="B163" s="177"/>
      <c r="C163" s="178"/>
      <c r="D163" s="178"/>
      <c r="E163" s="178"/>
      <c r="F163" s="421" t="s">
        <v>389</v>
      </c>
      <c r="G163" s="421"/>
      <c r="H163" s="421"/>
      <c r="I163" s="421" t="s">
        <v>390</v>
      </c>
      <c r="J163" s="421"/>
      <c r="K163" s="422"/>
    </row>
    <row r="164" spans="2:17" ht="19.5" thickBot="1" x14ac:dyDescent="0.3">
      <c r="B164" s="180" t="s">
        <v>261</v>
      </c>
      <c r="C164" s="179" t="s">
        <v>473</v>
      </c>
      <c r="D164" s="179" t="s">
        <v>267</v>
      </c>
      <c r="E164" s="179" t="s">
        <v>268</v>
      </c>
      <c r="F164" s="179" t="s">
        <v>473</v>
      </c>
      <c r="G164" s="179" t="s">
        <v>267</v>
      </c>
      <c r="H164" s="179" t="s">
        <v>268</v>
      </c>
      <c r="I164" s="179" t="s">
        <v>473</v>
      </c>
      <c r="J164" s="179" t="s">
        <v>267</v>
      </c>
      <c r="K164" s="181" t="s">
        <v>268</v>
      </c>
      <c r="N164" s="208" t="s">
        <v>261</v>
      </c>
      <c r="O164" s="209" t="s">
        <v>473</v>
      </c>
      <c r="P164" s="209" t="s">
        <v>267</v>
      </c>
      <c r="Q164" s="210" t="s">
        <v>268</v>
      </c>
    </row>
    <row r="165" spans="2:17" x14ac:dyDescent="0.25">
      <c r="B165" s="335" t="s">
        <v>387</v>
      </c>
      <c r="C165" s="336">
        <v>193</v>
      </c>
      <c r="D165" s="336">
        <v>37</v>
      </c>
      <c r="E165" s="337">
        <v>37</v>
      </c>
      <c r="F165" s="338">
        <f>+C165</f>
        <v>193</v>
      </c>
      <c r="G165" s="339">
        <f>+D165</f>
        <v>37</v>
      </c>
      <c r="H165" s="340">
        <f>+E165</f>
        <v>37</v>
      </c>
      <c r="I165" s="341">
        <f>+C165</f>
        <v>193</v>
      </c>
      <c r="J165" s="339">
        <f>+D165</f>
        <v>37</v>
      </c>
      <c r="K165" s="340">
        <f>+E165</f>
        <v>37</v>
      </c>
      <c r="N165" s="78" t="s">
        <v>387</v>
      </c>
      <c r="O165" s="98">
        <f>+F165</f>
        <v>193</v>
      </c>
      <c r="P165" s="109">
        <f>+G165</f>
        <v>37</v>
      </c>
      <c r="Q165" s="99">
        <f>+H165</f>
        <v>37</v>
      </c>
    </row>
    <row r="166" spans="2:17" x14ac:dyDescent="0.25">
      <c r="B166" s="500" t="s">
        <v>386</v>
      </c>
      <c r="C166" s="221">
        <v>530</v>
      </c>
      <c r="D166" s="221">
        <v>98</v>
      </c>
      <c r="E166" s="222">
        <v>84</v>
      </c>
      <c r="F166" s="630">
        <f>+SUM(C166:C176)</f>
        <v>8320</v>
      </c>
      <c r="G166" s="632">
        <f>+SUM(D166:D176)</f>
        <v>602</v>
      </c>
      <c r="H166" s="634">
        <f>+SUM(E166:E176)</f>
        <v>480</v>
      </c>
      <c r="I166" s="635">
        <f>AVERAGE(C166:C176)</f>
        <v>756.36363636363637</v>
      </c>
      <c r="J166" s="632">
        <f>AVERAGE(D166:D176)</f>
        <v>54.727272727272727</v>
      </c>
      <c r="K166" s="634">
        <f>AVERAGE(E166:E176)</f>
        <v>43.636363636363633</v>
      </c>
      <c r="N166" s="26" t="s">
        <v>386</v>
      </c>
      <c r="O166" s="100">
        <f>+I166</f>
        <v>756.36363636363637</v>
      </c>
      <c r="P166" s="100">
        <f>+J166</f>
        <v>54.727272727272727</v>
      </c>
      <c r="Q166" s="101">
        <f>+K166</f>
        <v>43.636363636363633</v>
      </c>
    </row>
    <row r="167" spans="2:17" x14ac:dyDescent="0.25">
      <c r="B167" s="501"/>
      <c r="C167" s="242">
        <v>152</v>
      </c>
      <c r="D167" s="242">
        <v>56</v>
      </c>
      <c r="E167" s="243">
        <v>37</v>
      </c>
      <c r="F167" s="631"/>
      <c r="G167" s="633"/>
      <c r="H167" s="546"/>
      <c r="I167" s="636"/>
      <c r="J167" s="633"/>
      <c r="K167" s="546"/>
      <c r="N167" s="78" t="s">
        <v>276</v>
      </c>
      <c r="O167" s="98">
        <f>+I177</f>
        <v>535.61904761904759</v>
      </c>
      <c r="P167" s="98">
        <f>+J177</f>
        <v>72.642857142857139</v>
      </c>
      <c r="Q167" s="99">
        <f>+K177</f>
        <v>106.85714285714286</v>
      </c>
    </row>
    <row r="168" spans="2:17" x14ac:dyDescent="0.25">
      <c r="B168" s="501"/>
      <c r="C168" s="221">
        <v>3500</v>
      </c>
      <c r="D168" s="221">
        <v>114</v>
      </c>
      <c r="E168" s="222">
        <v>160</v>
      </c>
      <c r="F168" s="631"/>
      <c r="G168" s="633"/>
      <c r="H168" s="546"/>
      <c r="I168" s="636"/>
      <c r="J168" s="633"/>
      <c r="K168" s="546"/>
      <c r="N168" s="26" t="s">
        <v>302</v>
      </c>
      <c r="O168" s="100">
        <f>+I219</f>
        <v>951.5</v>
      </c>
      <c r="P168" s="100">
        <f>+J219</f>
        <v>87.25</v>
      </c>
      <c r="Q168" s="101">
        <f>+K219</f>
        <v>236.25</v>
      </c>
    </row>
    <row r="169" spans="2:17" ht="15.75" thickBot="1" x14ac:dyDescent="0.3">
      <c r="B169" s="501"/>
      <c r="C169" s="221">
        <v>175</v>
      </c>
      <c r="D169" s="221">
        <v>39</v>
      </c>
      <c r="E169" s="222">
        <v>34</v>
      </c>
      <c r="F169" s="631"/>
      <c r="G169" s="633"/>
      <c r="H169" s="546"/>
      <c r="I169" s="636"/>
      <c r="J169" s="633"/>
      <c r="K169" s="546"/>
      <c r="N169" s="80" t="s">
        <v>345</v>
      </c>
      <c r="O169" s="329">
        <f>+I223</f>
        <v>9500</v>
      </c>
      <c r="P169" s="107">
        <f>+J223</f>
        <v>213</v>
      </c>
      <c r="Q169" s="108">
        <f>+K223</f>
        <v>7613</v>
      </c>
    </row>
    <row r="170" spans="2:17" x14ac:dyDescent="0.25">
      <c r="B170" s="501"/>
      <c r="C170" s="242">
        <v>1000</v>
      </c>
      <c r="D170" s="242">
        <v>53</v>
      </c>
      <c r="E170" s="243">
        <v>58</v>
      </c>
      <c r="F170" s="631"/>
      <c r="G170" s="633"/>
      <c r="H170" s="546"/>
      <c r="I170" s="636"/>
      <c r="J170" s="633"/>
      <c r="K170" s="546"/>
    </row>
    <row r="171" spans="2:17" x14ac:dyDescent="0.25">
      <c r="B171" s="501"/>
      <c r="C171" s="242">
        <v>1100</v>
      </c>
      <c r="D171" s="242">
        <v>22</v>
      </c>
      <c r="E171" s="243">
        <v>40</v>
      </c>
      <c r="F171" s="631"/>
      <c r="G171" s="633"/>
      <c r="H171" s="546"/>
      <c r="I171" s="636"/>
      <c r="J171" s="633"/>
      <c r="K171" s="546"/>
    </row>
    <row r="172" spans="2:17" x14ac:dyDescent="0.25">
      <c r="B172" s="501"/>
      <c r="C172" s="221">
        <v>1400</v>
      </c>
      <c r="D172" s="221">
        <v>87</v>
      </c>
      <c r="E172" s="222">
        <v>0</v>
      </c>
      <c r="F172" s="631"/>
      <c r="G172" s="633"/>
      <c r="H172" s="546"/>
      <c r="I172" s="636"/>
      <c r="J172" s="633"/>
      <c r="K172" s="546"/>
    </row>
    <row r="173" spans="2:17" x14ac:dyDescent="0.25">
      <c r="B173" s="501"/>
      <c r="C173" s="223">
        <v>96</v>
      </c>
      <c r="D173" s="223">
        <v>15</v>
      </c>
      <c r="E173" s="224">
        <v>22</v>
      </c>
      <c r="F173" s="631"/>
      <c r="G173" s="633"/>
      <c r="H173" s="546"/>
      <c r="I173" s="636"/>
      <c r="J173" s="633"/>
      <c r="K173" s="546"/>
    </row>
    <row r="174" spans="2:17" x14ac:dyDescent="0.25">
      <c r="B174" s="501"/>
      <c r="C174" s="223">
        <v>98</v>
      </c>
      <c r="D174" s="223">
        <v>25</v>
      </c>
      <c r="E174" s="224">
        <v>17</v>
      </c>
      <c r="F174" s="631"/>
      <c r="G174" s="633"/>
      <c r="H174" s="546"/>
      <c r="I174" s="636"/>
      <c r="J174" s="633"/>
      <c r="K174" s="546"/>
    </row>
    <row r="175" spans="2:17" x14ac:dyDescent="0.25">
      <c r="B175" s="501"/>
      <c r="C175" s="221">
        <v>23</v>
      </c>
      <c r="D175" s="221">
        <v>11</v>
      </c>
      <c r="E175" s="222">
        <v>3</v>
      </c>
      <c r="F175" s="631"/>
      <c r="G175" s="633"/>
      <c r="H175" s="546"/>
      <c r="I175" s="636"/>
      <c r="J175" s="633"/>
      <c r="K175" s="546"/>
    </row>
    <row r="176" spans="2:17" x14ac:dyDescent="0.25">
      <c r="B176" s="502"/>
      <c r="C176" s="242">
        <v>246</v>
      </c>
      <c r="D176" s="242">
        <v>82</v>
      </c>
      <c r="E176" s="243">
        <v>25</v>
      </c>
      <c r="F176" s="631"/>
      <c r="G176" s="633"/>
      <c r="H176" s="546"/>
      <c r="I176" s="636"/>
      <c r="J176" s="633"/>
      <c r="K176" s="546"/>
    </row>
    <row r="177" spans="2:11" x14ac:dyDescent="0.25">
      <c r="B177" s="476" t="s">
        <v>276</v>
      </c>
      <c r="C177" s="230">
        <v>224</v>
      </c>
      <c r="D177" s="230">
        <v>80</v>
      </c>
      <c r="E177" s="231">
        <v>32</v>
      </c>
      <c r="F177" s="506">
        <f>+SUM(C177:C218)</f>
        <v>22496</v>
      </c>
      <c r="G177" s="531">
        <f>+SUM(D177:D218)</f>
        <v>3051</v>
      </c>
      <c r="H177" s="559">
        <f>+SUM(E177:E218)</f>
        <v>4488</v>
      </c>
      <c r="I177" s="508">
        <f>AVERAGE(C177:C218)</f>
        <v>535.61904761904759</v>
      </c>
      <c r="J177" s="531">
        <f>AVERAGE(D177:D218)</f>
        <v>72.642857142857139</v>
      </c>
      <c r="K177" s="559">
        <f>AVERAGE(E177:E218)</f>
        <v>106.85714285714286</v>
      </c>
    </row>
    <row r="178" spans="2:11" x14ac:dyDescent="0.25">
      <c r="B178" s="471"/>
      <c r="C178" s="230">
        <v>285</v>
      </c>
      <c r="D178" s="230">
        <v>23</v>
      </c>
      <c r="E178" s="231">
        <v>35</v>
      </c>
      <c r="F178" s="506"/>
      <c r="G178" s="531"/>
      <c r="H178" s="559"/>
      <c r="I178" s="508"/>
      <c r="J178" s="531"/>
      <c r="K178" s="559"/>
    </row>
    <row r="179" spans="2:11" x14ac:dyDescent="0.25">
      <c r="B179" s="471"/>
      <c r="C179" s="259">
        <v>421</v>
      </c>
      <c r="D179" s="259">
        <v>106</v>
      </c>
      <c r="E179" s="260">
        <v>105</v>
      </c>
      <c r="F179" s="506"/>
      <c r="G179" s="531"/>
      <c r="H179" s="559"/>
      <c r="I179" s="508"/>
      <c r="J179" s="531"/>
      <c r="K179" s="559"/>
    </row>
    <row r="180" spans="2:11" x14ac:dyDescent="0.25">
      <c r="B180" s="471"/>
      <c r="C180" s="230">
        <v>345</v>
      </c>
      <c r="D180" s="230">
        <v>56</v>
      </c>
      <c r="E180" s="231">
        <v>42</v>
      </c>
      <c r="F180" s="506"/>
      <c r="G180" s="531"/>
      <c r="H180" s="559"/>
      <c r="I180" s="508"/>
      <c r="J180" s="531"/>
      <c r="K180" s="559"/>
    </row>
    <row r="181" spans="2:11" x14ac:dyDescent="0.25">
      <c r="B181" s="471"/>
      <c r="C181" s="293">
        <v>106</v>
      </c>
      <c r="D181" s="293">
        <v>44</v>
      </c>
      <c r="E181" s="342">
        <v>29</v>
      </c>
      <c r="F181" s="506"/>
      <c r="G181" s="531"/>
      <c r="H181" s="559"/>
      <c r="I181" s="508"/>
      <c r="J181" s="531"/>
      <c r="K181" s="559"/>
    </row>
    <row r="182" spans="2:11" x14ac:dyDescent="0.25">
      <c r="B182" s="471"/>
      <c r="C182" s="259">
        <v>274</v>
      </c>
      <c r="D182" s="259">
        <v>108</v>
      </c>
      <c r="E182" s="260">
        <v>61</v>
      </c>
      <c r="F182" s="506"/>
      <c r="G182" s="531"/>
      <c r="H182" s="559"/>
      <c r="I182" s="508"/>
      <c r="J182" s="531"/>
      <c r="K182" s="559"/>
    </row>
    <row r="183" spans="2:11" x14ac:dyDescent="0.25">
      <c r="B183" s="471"/>
      <c r="C183" s="230">
        <v>514</v>
      </c>
      <c r="D183" s="230">
        <v>135</v>
      </c>
      <c r="E183" s="231">
        <v>184</v>
      </c>
      <c r="F183" s="506"/>
      <c r="G183" s="531"/>
      <c r="H183" s="559"/>
      <c r="I183" s="508"/>
      <c r="J183" s="531"/>
      <c r="K183" s="559"/>
    </row>
    <row r="184" spans="2:11" x14ac:dyDescent="0.25">
      <c r="B184" s="471"/>
      <c r="C184" s="230">
        <v>120</v>
      </c>
      <c r="D184" s="230">
        <v>30</v>
      </c>
      <c r="E184" s="231">
        <v>23</v>
      </c>
      <c r="F184" s="506"/>
      <c r="G184" s="531"/>
      <c r="H184" s="559"/>
      <c r="I184" s="508"/>
      <c r="J184" s="531"/>
      <c r="K184" s="559"/>
    </row>
    <row r="185" spans="2:11" x14ac:dyDescent="0.25">
      <c r="B185" s="471"/>
      <c r="C185" s="259">
        <v>254</v>
      </c>
      <c r="D185" s="259">
        <v>81</v>
      </c>
      <c r="E185" s="260">
        <v>50</v>
      </c>
      <c r="F185" s="506"/>
      <c r="G185" s="531"/>
      <c r="H185" s="559"/>
      <c r="I185" s="508"/>
      <c r="J185" s="531"/>
      <c r="K185" s="559"/>
    </row>
    <row r="186" spans="2:11" x14ac:dyDescent="0.25">
      <c r="B186" s="471"/>
      <c r="C186" s="230">
        <v>695</v>
      </c>
      <c r="D186" s="230">
        <v>79</v>
      </c>
      <c r="E186" s="231">
        <v>115</v>
      </c>
      <c r="F186" s="506"/>
      <c r="G186" s="531"/>
      <c r="H186" s="559"/>
      <c r="I186" s="508"/>
      <c r="J186" s="531"/>
      <c r="K186" s="559"/>
    </row>
    <row r="187" spans="2:11" x14ac:dyDescent="0.25">
      <c r="B187" s="471"/>
      <c r="C187" s="230">
        <v>743</v>
      </c>
      <c r="D187" s="230">
        <v>216</v>
      </c>
      <c r="E187" s="231">
        <v>285</v>
      </c>
      <c r="F187" s="506"/>
      <c r="G187" s="531"/>
      <c r="H187" s="559"/>
      <c r="I187" s="508"/>
      <c r="J187" s="531"/>
      <c r="K187" s="559"/>
    </row>
    <row r="188" spans="2:11" x14ac:dyDescent="0.25">
      <c r="B188" s="471"/>
      <c r="C188" s="266">
        <v>154</v>
      </c>
      <c r="D188" s="266">
        <v>41</v>
      </c>
      <c r="E188" s="267">
        <v>26</v>
      </c>
      <c r="F188" s="506"/>
      <c r="G188" s="531"/>
      <c r="H188" s="559"/>
      <c r="I188" s="508"/>
      <c r="J188" s="531"/>
      <c r="K188" s="559"/>
    </row>
    <row r="189" spans="2:11" x14ac:dyDescent="0.25">
      <c r="B189" s="471"/>
      <c r="C189" s="259">
        <v>50</v>
      </c>
      <c r="D189" s="259">
        <v>11</v>
      </c>
      <c r="E189" s="260">
        <v>4</v>
      </c>
      <c r="F189" s="506"/>
      <c r="G189" s="531"/>
      <c r="H189" s="559"/>
      <c r="I189" s="508"/>
      <c r="J189" s="531"/>
      <c r="K189" s="559"/>
    </row>
    <row r="190" spans="2:11" x14ac:dyDescent="0.25">
      <c r="B190" s="471"/>
      <c r="C190" s="230">
        <v>56</v>
      </c>
      <c r="D190" s="230">
        <v>30</v>
      </c>
      <c r="E190" s="231">
        <v>17</v>
      </c>
      <c r="F190" s="506"/>
      <c r="G190" s="531"/>
      <c r="H190" s="559"/>
      <c r="I190" s="508"/>
      <c r="J190" s="531"/>
      <c r="K190" s="559"/>
    </row>
    <row r="191" spans="2:11" x14ac:dyDescent="0.25">
      <c r="B191" s="471"/>
      <c r="C191" s="259">
        <v>428</v>
      </c>
      <c r="D191" s="259">
        <v>30</v>
      </c>
      <c r="E191" s="260">
        <v>103</v>
      </c>
      <c r="F191" s="506"/>
      <c r="G191" s="531"/>
      <c r="H191" s="559"/>
      <c r="I191" s="508"/>
      <c r="J191" s="531"/>
      <c r="K191" s="559"/>
    </row>
    <row r="192" spans="2:11" x14ac:dyDescent="0.25">
      <c r="B192" s="471"/>
      <c r="C192" s="259">
        <v>3024</v>
      </c>
      <c r="D192" s="259">
        <v>194</v>
      </c>
      <c r="E192" s="260">
        <v>772</v>
      </c>
      <c r="F192" s="506"/>
      <c r="G192" s="531"/>
      <c r="H192" s="559"/>
      <c r="I192" s="508"/>
      <c r="J192" s="531"/>
      <c r="K192" s="559"/>
    </row>
    <row r="193" spans="2:11" x14ac:dyDescent="0.25">
      <c r="B193" s="471"/>
      <c r="C193" s="266">
        <v>238</v>
      </c>
      <c r="D193" s="266">
        <v>34</v>
      </c>
      <c r="E193" s="267">
        <v>26</v>
      </c>
      <c r="F193" s="506"/>
      <c r="G193" s="531"/>
      <c r="H193" s="559"/>
      <c r="I193" s="508"/>
      <c r="J193" s="531"/>
      <c r="K193" s="559"/>
    </row>
    <row r="194" spans="2:11" x14ac:dyDescent="0.25">
      <c r="B194" s="471"/>
      <c r="C194" s="230">
        <v>129</v>
      </c>
      <c r="D194" s="230">
        <v>84</v>
      </c>
      <c r="E194" s="231">
        <v>32</v>
      </c>
      <c r="F194" s="506"/>
      <c r="G194" s="531"/>
      <c r="H194" s="559"/>
      <c r="I194" s="508"/>
      <c r="J194" s="531"/>
      <c r="K194" s="559"/>
    </row>
    <row r="195" spans="2:11" x14ac:dyDescent="0.25">
      <c r="B195" s="471"/>
      <c r="C195" s="259">
        <v>82</v>
      </c>
      <c r="D195" s="259">
        <v>33</v>
      </c>
      <c r="E195" s="260">
        <v>65</v>
      </c>
      <c r="F195" s="506"/>
      <c r="G195" s="531"/>
      <c r="H195" s="559"/>
      <c r="I195" s="508"/>
      <c r="J195" s="531"/>
      <c r="K195" s="559"/>
    </row>
    <row r="196" spans="2:11" x14ac:dyDescent="0.25">
      <c r="B196" s="471"/>
      <c r="C196" s="259">
        <v>352</v>
      </c>
      <c r="D196" s="259">
        <v>54</v>
      </c>
      <c r="E196" s="260">
        <v>89</v>
      </c>
      <c r="F196" s="506"/>
      <c r="G196" s="531"/>
      <c r="H196" s="559"/>
      <c r="I196" s="508"/>
      <c r="J196" s="531"/>
      <c r="K196" s="559"/>
    </row>
    <row r="197" spans="2:11" x14ac:dyDescent="0.25">
      <c r="B197" s="471"/>
      <c r="C197" s="230">
        <v>2100</v>
      </c>
      <c r="D197" s="230">
        <v>355</v>
      </c>
      <c r="E197" s="231">
        <v>220</v>
      </c>
      <c r="F197" s="506"/>
      <c r="G197" s="531"/>
      <c r="H197" s="559"/>
      <c r="I197" s="508"/>
      <c r="J197" s="531"/>
      <c r="K197" s="559"/>
    </row>
    <row r="198" spans="2:11" x14ac:dyDescent="0.25">
      <c r="B198" s="471"/>
      <c r="C198" s="230">
        <v>938</v>
      </c>
      <c r="D198" s="230">
        <v>72</v>
      </c>
      <c r="E198" s="231">
        <v>67</v>
      </c>
      <c r="F198" s="506"/>
      <c r="G198" s="531"/>
      <c r="H198" s="559"/>
      <c r="I198" s="508"/>
      <c r="J198" s="531"/>
      <c r="K198" s="559"/>
    </row>
    <row r="199" spans="2:11" x14ac:dyDescent="0.25">
      <c r="B199" s="471"/>
      <c r="C199" s="230">
        <v>1100</v>
      </c>
      <c r="D199" s="230">
        <v>80</v>
      </c>
      <c r="E199" s="231">
        <v>119</v>
      </c>
      <c r="F199" s="506"/>
      <c r="G199" s="531"/>
      <c r="H199" s="559"/>
      <c r="I199" s="508"/>
      <c r="J199" s="531"/>
      <c r="K199" s="559"/>
    </row>
    <row r="200" spans="2:11" x14ac:dyDescent="0.25">
      <c r="B200" s="471"/>
      <c r="C200" s="259">
        <v>479</v>
      </c>
      <c r="D200" s="259">
        <v>81</v>
      </c>
      <c r="E200" s="260">
        <v>147</v>
      </c>
      <c r="F200" s="506"/>
      <c r="G200" s="531"/>
      <c r="H200" s="559"/>
      <c r="I200" s="508"/>
      <c r="J200" s="531"/>
      <c r="K200" s="559"/>
    </row>
    <row r="201" spans="2:11" x14ac:dyDescent="0.25">
      <c r="B201" s="471"/>
      <c r="C201" s="259">
        <v>351</v>
      </c>
      <c r="D201" s="259">
        <v>44</v>
      </c>
      <c r="E201" s="260">
        <v>61</v>
      </c>
      <c r="F201" s="506"/>
      <c r="G201" s="531"/>
      <c r="H201" s="559"/>
      <c r="I201" s="508"/>
      <c r="J201" s="531"/>
      <c r="K201" s="559"/>
    </row>
    <row r="202" spans="2:11" x14ac:dyDescent="0.25">
      <c r="B202" s="471"/>
      <c r="C202" s="259">
        <v>1232</v>
      </c>
      <c r="D202" s="259">
        <v>91</v>
      </c>
      <c r="E202" s="260">
        <v>489</v>
      </c>
      <c r="F202" s="506"/>
      <c r="G202" s="531"/>
      <c r="H202" s="559"/>
      <c r="I202" s="508"/>
      <c r="J202" s="531"/>
      <c r="K202" s="559"/>
    </row>
    <row r="203" spans="2:11" x14ac:dyDescent="0.25">
      <c r="B203" s="471"/>
      <c r="C203" s="230">
        <v>100</v>
      </c>
      <c r="D203" s="230">
        <v>43</v>
      </c>
      <c r="E203" s="231">
        <v>28</v>
      </c>
      <c r="F203" s="506"/>
      <c r="G203" s="531"/>
      <c r="H203" s="559"/>
      <c r="I203" s="508"/>
      <c r="J203" s="531"/>
      <c r="K203" s="559"/>
    </row>
    <row r="204" spans="2:11" x14ac:dyDescent="0.25">
      <c r="B204" s="471"/>
      <c r="C204" s="259">
        <v>192</v>
      </c>
      <c r="D204" s="259">
        <v>33</v>
      </c>
      <c r="E204" s="260">
        <v>26</v>
      </c>
      <c r="F204" s="506"/>
      <c r="G204" s="531"/>
      <c r="H204" s="559"/>
      <c r="I204" s="508"/>
      <c r="J204" s="531"/>
      <c r="K204" s="559"/>
    </row>
    <row r="205" spans="2:11" x14ac:dyDescent="0.25">
      <c r="B205" s="471"/>
      <c r="C205" s="259">
        <v>995</v>
      </c>
      <c r="D205" s="259">
        <v>64</v>
      </c>
      <c r="E205" s="260">
        <v>86</v>
      </c>
      <c r="F205" s="506"/>
      <c r="G205" s="531"/>
      <c r="H205" s="559"/>
      <c r="I205" s="508"/>
      <c r="J205" s="531"/>
      <c r="K205" s="559"/>
    </row>
    <row r="206" spans="2:11" x14ac:dyDescent="0.25">
      <c r="B206" s="471"/>
      <c r="C206" s="230">
        <v>106</v>
      </c>
      <c r="D206" s="230">
        <v>34</v>
      </c>
      <c r="E206" s="231">
        <v>16</v>
      </c>
      <c r="F206" s="506"/>
      <c r="G206" s="531"/>
      <c r="H206" s="559"/>
      <c r="I206" s="508"/>
      <c r="J206" s="531"/>
      <c r="K206" s="559"/>
    </row>
    <row r="207" spans="2:11" x14ac:dyDescent="0.25">
      <c r="B207" s="471"/>
      <c r="C207" s="230">
        <v>145</v>
      </c>
      <c r="D207" s="230">
        <v>22</v>
      </c>
      <c r="E207" s="231">
        <v>16</v>
      </c>
      <c r="F207" s="506"/>
      <c r="G207" s="531"/>
      <c r="H207" s="559"/>
      <c r="I207" s="508"/>
      <c r="J207" s="531"/>
      <c r="K207" s="559"/>
    </row>
    <row r="208" spans="2:11" x14ac:dyDescent="0.25">
      <c r="B208" s="471"/>
      <c r="C208" s="266">
        <v>921</v>
      </c>
      <c r="D208" s="266">
        <v>42</v>
      </c>
      <c r="E208" s="267">
        <v>47</v>
      </c>
      <c r="F208" s="506"/>
      <c r="G208" s="531"/>
      <c r="H208" s="559"/>
      <c r="I208" s="508"/>
      <c r="J208" s="531"/>
      <c r="K208" s="559"/>
    </row>
    <row r="209" spans="2:11" x14ac:dyDescent="0.25">
      <c r="B209" s="471"/>
      <c r="C209" s="230">
        <v>461</v>
      </c>
      <c r="D209" s="230">
        <v>79</v>
      </c>
      <c r="E209" s="231">
        <v>101</v>
      </c>
      <c r="F209" s="506"/>
      <c r="G209" s="531"/>
      <c r="H209" s="559"/>
      <c r="I209" s="508"/>
      <c r="J209" s="531"/>
      <c r="K209" s="559"/>
    </row>
    <row r="210" spans="2:11" x14ac:dyDescent="0.25">
      <c r="B210" s="471"/>
      <c r="C210" s="259">
        <v>484</v>
      </c>
      <c r="D210" s="259">
        <v>68</v>
      </c>
      <c r="E210" s="260">
        <v>46</v>
      </c>
      <c r="F210" s="506"/>
      <c r="G210" s="531"/>
      <c r="H210" s="559"/>
      <c r="I210" s="508"/>
      <c r="J210" s="531"/>
      <c r="K210" s="559"/>
    </row>
    <row r="211" spans="2:11" x14ac:dyDescent="0.25">
      <c r="B211" s="471"/>
      <c r="C211" s="230">
        <v>2400</v>
      </c>
      <c r="D211" s="230">
        <v>132</v>
      </c>
      <c r="E211" s="231">
        <v>490</v>
      </c>
      <c r="F211" s="506"/>
      <c r="G211" s="531"/>
      <c r="H211" s="559"/>
      <c r="I211" s="508"/>
      <c r="J211" s="531"/>
      <c r="K211" s="559"/>
    </row>
    <row r="212" spans="2:11" x14ac:dyDescent="0.25">
      <c r="B212" s="471"/>
      <c r="C212" s="259">
        <v>701</v>
      </c>
      <c r="D212" s="259">
        <v>108</v>
      </c>
      <c r="E212" s="260">
        <v>205</v>
      </c>
      <c r="F212" s="506"/>
      <c r="G212" s="531"/>
      <c r="H212" s="559"/>
      <c r="I212" s="508"/>
      <c r="J212" s="531"/>
      <c r="K212" s="559"/>
    </row>
    <row r="213" spans="2:11" x14ac:dyDescent="0.25">
      <c r="B213" s="471"/>
      <c r="C213" s="259">
        <v>264</v>
      </c>
      <c r="D213" s="259">
        <v>50</v>
      </c>
      <c r="E213" s="260">
        <v>22</v>
      </c>
      <c r="F213" s="506"/>
      <c r="G213" s="531"/>
      <c r="H213" s="559"/>
      <c r="I213" s="508"/>
      <c r="J213" s="531"/>
      <c r="K213" s="559"/>
    </row>
    <row r="214" spans="2:11" x14ac:dyDescent="0.25">
      <c r="B214" s="471"/>
      <c r="C214" s="266">
        <v>66</v>
      </c>
      <c r="D214" s="266">
        <v>41</v>
      </c>
      <c r="E214" s="267">
        <v>26</v>
      </c>
      <c r="F214" s="506"/>
      <c r="G214" s="531"/>
      <c r="H214" s="559"/>
      <c r="I214" s="508"/>
      <c r="J214" s="531"/>
      <c r="K214" s="559"/>
    </row>
    <row r="215" spans="2:11" x14ac:dyDescent="0.25">
      <c r="B215" s="471"/>
      <c r="C215" s="266">
        <v>312</v>
      </c>
      <c r="D215" s="266">
        <v>38</v>
      </c>
      <c r="E215" s="267">
        <v>53</v>
      </c>
      <c r="F215" s="506"/>
      <c r="G215" s="531"/>
      <c r="H215" s="559"/>
      <c r="I215" s="508"/>
      <c r="J215" s="531"/>
      <c r="K215" s="559"/>
    </row>
    <row r="216" spans="2:11" x14ac:dyDescent="0.25">
      <c r="B216" s="471"/>
      <c r="C216" s="266">
        <v>238</v>
      </c>
      <c r="D216" s="266">
        <v>29</v>
      </c>
      <c r="E216" s="267">
        <v>34</v>
      </c>
      <c r="F216" s="506"/>
      <c r="G216" s="531"/>
      <c r="H216" s="559"/>
      <c r="I216" s="508"/>
      <c r="J216" s="531"/>
      <c r="K216" s="559"/>
    </row>
    <row r="217" spans="2:11" x14ac:dyDescent="0.25">
      <c r="B217" s="471"/>
      <c r="C217" s="259">
        <v>333</v>
      </c>
      <c r="D217" s="259">
        <v>58</v>
      </c>
      <c r="E217" s="260">
        <v>80</v>
      </c>
      <c r="F217" s="506"/>
      <c r="G217" s="531"/>
      <c r="H217" s="559"/>
      <c r="I217" s="508"/>
      <c r="J217" s="531"/>
      <c r="K217" s="559"/>
    </row>
    <row r="218" spans="2:11" x14ac:dyDescent="0.25">
      <c r="B218" s="472"/>
      <c r="C218" s="259">
        <v>84</v>
      </c>
      <c r="D218" s="259">
        <v>18</v>
      </c>
      <c r="E218" s="260">
        <v>14</v>
      </c>
      <c r="F218" s="506"/>
      <c r="G218" s="531"/>
      <c r="H218" s="559"/>
      <c r="I218" s="508"/>
      <c r="J218" s="531"/>
      <c r="K218" s="559"/>
    </row>
    <row r="219" spans="2:11" x14ac:dyDescent="0.25">
      <c r="B219" s="467" t="s">
        <v>302</v>
      </c>
      <c r="C219" s="221">
        <v>2500</v>
      </c>
      <c r="D219" s="221">
        <v>178</v>
      </c>
      <c r="E219" s="222">
        <v>701</v>
      </c>
      <c r="F219" s="631">
        <f>+SUM(C219:C222)</f>
        <v>3806</v>
      </c>
      <c r="G219" s="633">
        <f>+SUM(D219:D222)</f>
        <v>349</v>
      </c>
      <c r="H219" s="546">
        <f>+SUM(E219:E222)</f>
        <v>945</v>
      </c>
      <c r="I219" s="636">
        <f>+AVERAGE(C219:C222)</f>
        <v>951.5</v>
      </c>
      <c r="J219" s="633">
        <f>+AVERAGE(D219:D222)</f>
        <v>87.25</v>
      </c>
      <c r="K219" s="546">
        <f>+AVERAGE(E219:E222)</f>
        <v>236.25</v>
      </c>
    </row>
    <row r="220" spans="2:11" x14ac:dyDescent="0.25">
      <c r="B220" s="468"/>
      <c r="C220" s="242">
        <v>592</v>
      </c>
      <c r="D220" s="242">
        <v>46</v>
      </c>
      <c r="E220" s="243">
        <v>131</v>
      </c>
      <c r="F220" s="631"/>
      <c r="G220" s="633"/>
      <c r="H220" s="546"/>
      <c r="I220" s="636"/>
      <c r="J220" s="633"/>
      <c r="K220" s="546"/>
    </row>
    <row r="221" spans="2:11" x14ac:dyDescent="0.25">
      <c r="B221" s="468"/>
      <c r="C221" s="221">
        <v>311</v>
      </c>
      <c r="D221" s="221">
        <v>51</v>
      </c>
      <c r="E221" s="222">
        <v>39</v>
      </c>
      <c r="F221" s="631"/>
      <c r="G221" s="633"/>
      <c r="H221" s="546"/>
      <c r="I221" s="636"/>
      <c r="J221" s="633"/>
      <c r="K221" s="546"/>
    </row>
    <row r="222" spans="2:11" x14ac:dyDescent="0.25">
      <c r="B222" s="469"/>
      <c r="C222" s="242">
        <v>403</v>
      </c>
      <c r="D222" s="242">
        <v>74</v>
      </c>
      <c r="E222" s="243">
        <v>74</v>
      </c>
      <c r="F222" s="631"/>
      <c r="G222" s="633"/>
      <c r="H222" s="546"/>
      <c r="I222" s="636"/>
      <c r="J222" s="633"/>
      <c r="K222" s="546"/>
    </row>
    <row r="223" spans="2:11" ht="15.75" thickBot="1" x14ac:dyDescent="0.3">
      <c r="B223" s="343" t="s">
        <v>345</v>
      </c>
      <c r="C223" s="294">
        <v>9500</v>
      </c>
      <c r="D223" s="294">
        <v>213</v>
      </c>
      <c r="E223" s="344">
        <v>7613</v>
      </c>
      <c r="F223" s="345">
        <f>+C223</f>
        <v>9500</v>
      </c>
      <c r="G223" s="346">
        <f>+D223</f>
        <v>213</v>
      </c>
      <c r="H223" s="347">
        <f>+E223</f>
        <v>7613</v>
      </c>
      <c r="I223" s="345">
        <f>+C223</f>
        <v>9500</v>
      </c>
      <c r="J223" s="346">
        <f>+D223</f>
        <v>213</v>
      </c>
      <c r="K223" s="347">
        <f>+E223</f>
        <v>7613</v>
      </c>
    </row>
    <row r="226" spans="1:34" x14ac:dyDescent="0.25">
      <c r="A226" s="13"/>
      <c r="B226" s="14"/>
      <c r="C226" s="13"/>
      <c r="D226" s="13"/>
      <c r="E226" s="13"/>
      <c r="F226" s="14"/>
      <c r="G226" s="14"/>
      <c r="H226" s="14"/>
      <c r="I226" s="14"/>
      <c r="J226" s="14"/>
      <c r="K226" s="14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</row>
    <row r="228" spans="1:34" ht="15.75" thickBot="1" x14ac:dyDescent="0.3"/>
    <row r="229" spans="1:34" ht="27" thickBot="1" x14ac:dyDescent="0.3">
      <c r="B229" s="627" t="s">
        <v>395</v>
      </c>
      <c r="C229" s="628"/>
      <c r="D229" s="628"/>
      <c r="E229" s="628"/>
      <c r="F229" s="628"/>
      <c r="G229" s="628"/>
      <c r="H229" s="628"/>
      <c r="I229" s="628"/>
      <c r="J229" s="628"/>
      <c r="K229" s="629"/>
    </row>
    <row r="230" spans="1:34" ht="21.75" thickBot="1" x14ac:dyDescent="0.4">
      <c r="B230" s="397" t="s">
        <v>399</v>
      </c>
      <c r="C230" s="398"/>
      <c r="D230" s="398"/>
      <c r="E230" s="398"/>
      <c r="F230" s="398"/>
      <c r="G230" s="398"/>
      <c r="H230" s="398"/>
      <c r="I230" s="398"/>
      <c r="J230" s="398"/>
      <c r="K230" s="399"/>
    </row>
    <row r="231" spans="1:34" ht="15.75" thickBot="1" x14ac:dyDescent="0.3"/>
    <row r="232" spans="1:34" ht="19.5" thickBot="1" x14ac:dyDescent="0.3">
      <c r="B232" s="177"/>
      <c r="C232" s="178"/>
      <c r="D232" s="178"/>
      <c r="E232" s="178"/>
      <c r="F232" s="421" t="s">
        <v>389</v>
      </c>
      <c r="G232" s="421"/>
      <c r="H232" s="421"/>
      <c r="I232" s="421" t="s">
        <v>390</v>
      </c>
      <c r="J232" s="421"/>
      <c r="K232" s="422"/>
    </row>
    <row r="233" spans="1:34" ht="19.5" thickBot="1" x14ac:dyDescent="0.3">
      <c r="B233" s="180" t="s">
        <v>261</v>
      </c>
      <c r="C233" s="179" t="s">
        <v>473</v>
      </c>
      <c r="D233" s="179" t="s">
        <v>267</v>
      </c>
      <c r="E233" s="179" t="s">
        <v>268</v>
      </c>
      <c r="F233" s="179" t="s">
        <v>473</v>
      </c>
      <c r="G233" s="179" t="s">
        <v>267</v>
      </c>
      <c r="H233" s="179" t="s">
        <v>268</v>
      </c>
      <c r="I233" s="179" t="s">
        <v>473</v>
      </c>
      <c r="J233" s="179" t="s">
        <v>267</v>
      </c>
      <c r="K233" s="181" t="s">
        <v>268</v>
      </c>
      <c r="N233" s="208" t="s">
        <v>261</v>
      </c>
      <c r="O233" s="209" t="s">
        <v>473</v>
      </c>
      <c r="P233" s="209" t="s">
        <v>267</v>
      </c>
      <c r="Q233" s="210" t="s">
        <v>268</v>
      </c>
    </row>
    <row r="234" spans="1:34" x14ac:dyDescent="0.25">
      <c r="B234" s="560" t="s">
        <v>386</v>
      </c>
      <c r="C234" s="301">
        <v>1800</v>
      </c>
      <c r="D234" s="301">
        <v>46</v>
      </c>
      <c r="E234" s="302">
        <v>235</v>
      </c>
      <c r="F234" s="654">
        <f>+SUM(C234:C243)</f>
        <v>6908</v>
      </c>
      <c r="G234" s="647">
        <f>+SUM(D234:D243)</f>
        <v>575</v>
      </c>
      <c r="H234" s="644">
        <f>+SUM(E234:E243)</f>
        <v>770</v>
      </c>
      <c r="I234" s="647">
        <f>+AVERAGE(C234:C243)</f>
        <v>690.8</v>
      </c>
      <c r="J234" s="647">
        <f>+AVERAGE(D234:D243)</f>
        <v>57.5</v>
      </c>
      <c r="K234" s="644">
        <f>+AVERAGE(E234:E243)</f>
        <v>77</v>
      </c>
      <c r="N234" s="78" t="s">
        <v>386</v>
      </c>
      <c r="O234" s="98">
        <f>+I234</f>
        <v>690.8</v>
      </c>
      <c r="P234" s="109">
        <f>+J234</f>
        <v>57.5</v>
      </c>
      <c r="Q234" s="99">
        <f>+K234</f>
        <v>77</v>
      </c>
    </row>
    <row r="235" spans="1:34" x14ac:dyDescent="0.25">
      <c r="B235" s="549"/>
      <c r="C235" s="303">
        <v>702</v>
      </c>
      <c r="D235" s="303">
        <v>124</v>
      </c>
      <c r="E235" s="304">
        <v>48</v>
      </c>
      <c r="F235" s="655"/>
      <c r="G235" s="648"/>
      <c r="H235" s="645"/>
      <c r="I235" s="648"/>
      <c r="J235" s="648"/>
      <c r="K235" s="645"/>
      <c r="N235" s="26" t="s">
        <v>276</v>
      </c>
      <c r="O235" s="100">
        <f>+I244</f>
        <v>1118.8181818181818</v>
      </c>
      <c r="P235" s="100">
        <f>+J244</f>
        <v>89.88636363636364</v>
      </c>
      <c r="Q235" s="101">
        <f>+K244</f>
        <v>387.72727272727275</v>
      </c>
    </row>
    <row r="236" spans="1:34" x14ac:dyDescent="0.25">
      <c r="B236" s="549"/>
      <c r="C236" s="297">
        <v>60</v>
      </c>
      <c r="D236" s="297">
        <v>29</v>
      </c>
      <c r="E236" s="298">
        <v>19</v>
      </c>
      <c r="F236" s="655"/>
      <c r="G236" s="648"/>
      <c r="H236" s="645"/>
      <c r="I236" s="648"/>
      <c r="J236" s="648"/>
      <c r="K236" s="645"/>
      <c r="N236" s="78" t="s">
        <v>302</v>
      </c>
      <c r="O236" s="98">
        <f>+I288</f>
        <v>1039.6666666666667</v>
      </c>
      <c r="P236" s="98">
        <f>+J288</f>
        <v>60.333333333333336</v>
      </c>
      <c r="Q236" s="99">
        <f>+K288</f>
        <v>148</v>
      </c>
    </row>
    <row r="237" spans="1:34" ht="15.75" thickBot="1" x14ac:dyDescent="0.3">
      <c r="B237" s="549"/>
      <c r="C237" s="297">
        <v>638</v>
      </c>
      <c r="D237" s="297">
        <v>112</v>
      </c>
      <c r="E237" s="298">
        <v>168</v>
      </c>
      <c r="F237" s="655"/>
      <c r="G237" s="648"/>
      <c r="H237" s="645"/>
      <c r="I237" s="648"/>
      <c r="J237" s="648"/>
      <c r="K237" s="645"/>
      <c r="N237" s="27" t="s">
        <v>345</v>
      </c>
      <c r="O237" s="102">
        <f>+I291</f>
        <v>257.66666666666669</v>
      </c>
      <c r="P237" s="102">
        <f>+J291</f>
        <v>34</v>
      </c>
      <c r="Q237" s="103">
        <f>+K291</f>
        <v>82.333333333333329</v>
      </c>
    </row>
    <row r="238" spans="1:34" x14ac:dyDescent="0.25">
      <c r="B238" s="549"/>
      <c r="C238" s="303">
        <v>128</v>
      </c>
      <c r="D238" s="303">
        <v>26</v>
      </c>
      <c r="E238" s="304">
        <v>24</v>
      </c>
      <c r="F238" s="655"/>
      <c r="G238" s="648"/>
      <c r="H238" s="645"/>
      <c r="I238" s="648"/>
      <c r="J238" s="648"/>
      <c r="K238" s="645"/>
    </row>
    <row r="239" spans="1:34" x14ac:dyDescent="0.25">
      <c r="B239" s="549"/>
      <c r="C239" s="303">
        <v>189</v>
      </c>
      <c r="D239" s="303">
        <v>19</v>
      </c>
      <c r="E239" s="304">
        <v>20</v>
      </c>
      <c r="F239" s="655"/>
      <c r="G239" s="648"/>
      <c r="H239" s="645"/>
      <c r="I239" s="648"/>
      <c r="J239" s="648"/>
      <c r="K239" s="645"/>
    </row>
    <row r="240" spans="1:34" x14ac:dyDescent="0.25">
      <c r="B240" s="549"/>
      <c r="C240" s="297">
        <v>254</v>
      </c>
      <c r="D240" s="297">
        <v>21</v>
      </c>
      <c r="E240" s="298">
        <v>47</v>
      </c>
      <c r="F240" s="655"/>
      <c r="G240" s="648"/>
      <c r="H240" s="645"/>
      <c r="I240" s="648"/>
      <c r="J240" s="648"/>
      <c r="K240" s="645"/>
    </row>
    <row r="241" spans="2:11" x14ac:dyDescent="0.25">
      <c r="B241" s="549"/>
      <c r="C241" s="303">
        <v>1200</v>
      </c>
      <c r="D241" s="303">
        <v>116</v>
      </c>
      <c r="E241" s="304">
        <v>120</v>
      </c>
      <c r="F241" s="655"/>
      <c r="G241" s="648"/>
      <c r="H241" s="645"/>
      <c r="I241" s="648"/>
      <c r="J241" s="648"/>
      <c r="K241" s="645"/>
    </row>
    <row r="242" spans="2:11" x14ac:dyDescent="0.25">
      <c r="B242" s="549"/>
      <c r="C242" s="295">
        <v>337</v>
      </c>
      <c r="D242" s="295">
        <v>22</v>
      </c>
      <c r="E242" s="296">
        <v>28</v>
      </c>
      <c r="F242" s="655"/>
      <c r="G242" s="648"/>
      <c r="H242" s="645"/>
      <c r="I242" s="648"/>
      <c r="J242" s="648"/>
      <c r="K242" s="645"/>
    </row>
    <row r="243" spans="2:11" x14ac:dyDescent="0.25">
      <c r="B243" s="549"/>
      <c r="C243" s="295">
        <v>1600</v>
      </c>
      <c r="D243" s="295">
        <v>60</v>
      </c>
      <c r="E243" s="296">
        <v>61</v>
      </c>
      <c r="F243" s="656"/>
      <c r="G243" s="649"/>
      <c r="H243" s="646"/>
      <c r="I243" s="649"/>
      <c r="J243" s="649"/>
      <c r="K243" s="646"/>
    </row>
    <row r="244" spans="2:11" x14ac:dyDescent="0.25">
      <c r="B244" s="496" t="s">
        <v>276</v>
      </c>
      <c r="C244" s="188">
        <v>91</v>
      </c>
      <c r="D244" s="188">
        <v>20</v>
      </c>
      <c r="E244" s="308">
        <v>14</v>
      </c>
      <c r="F244" s="612">
        <f>+SUM(C244:C287)</f>
        <v>49228</v>
      </c>
      <c r="G244" s="657">
        <f>+SUM(D244:D287)</f>
        <v>3955</v>
      </c>
      <c r="H244" s="660">
        <f>+SUM(E244:E287)</f>
        <v>17060</v>
      </c>
      <c r="I244" s="657">
        <f>+AVERAGE(C244:C287)</f>
        <v>1118.8181818181818</v>
      </c>
      <c r="J244" s="657">
        <f>+AVERAGE(D244:D287)</f>
        <v>89.88636363636364</v>
      </c>
      <c r="K244" s="660">
        <f>+AVERAGE(E244:E287)</f>
        <v>387.72727272727275</v>
      </c>
    </row>
    <row r="245" spans="2:11" x14ac:dyDescent="0.25">
      <c r="B245" s="496"/>
      <c r="C245" s="192">
        <v>129</v>
      </c>
      <c r="D245" s="192">
        <v>41</v>
      </c>
      <c r="E245" s="309">
        <v>42</v>
      </c>
      <c r="F245" s="613"/>
      <c r="G245" s="658"/>
      <c r="H245" s="661"/>
      <c r="I245" s="658"/>
      <c r="J245" s="658"/>
      <c r="K245" s="661"/>
    </row>
    <row r="246" spans="2:11" x14ac:dyDescent="0.25">
      <c r="B246" s="496"/>
      <c r="C246" s="188">
        <v>373</v>
      </c>
      <c r="D246" s="188">
        <v>91</v>
      </c>
      <c r="E246" s="308">
        <v>61</v>
      </c>
      <c r="F246" s="613"/>
      <c r="G246" s="658"/>
      <c r="H246" s="661"/>
      <c r="I246" s="658"/>
      <c r="J246" s="658"/>
      <c r="K246" s="661"/>
    </row>
    <row r="247" spans="2:11" x14ac:dyDescent="0.25">
      <c r="B247" s="496"/>
      <c r="C247" s="188">
        <v>294</v>
      </c>
      <c r="D247" s="188">
        <v>36</v>
      </c>
      <c r="E247" s="308">
        <v>85</v>
      </c>
      <c r="F247" s="613"/>
      <c r="G247" s="658"/>
      <c r="H247" s="661"/>
      <c r="I247" s="658"/>
      <c r="J247" s="658"/>
      <c r="K247" s="661"/>
    </row>
    <row r="248" spans="2:11" x14ac:dyDescent="0.25">
      <c r="B248" s="496"/>
      <c r="C248" s="192">
        <v>52</v>
      </c>
      <c r="D248" s="192">
        <v>22</v>
      </c>
      <c r="E248" s="309">
        <v>4</v>
      </c>
      <c r="F248" s="613"/>
      <c r="G248" s="658"/>
      <c r="H248" s="661"/>
      <c r="I248" s="658"/>
      <c r="J248" s="658"/>
      <c r="K248" s="661"/>
    </row>
    <row r="249" spans="2:11" x14ac:dyDescent="0.25">
      <c r="B249" s="496"/>
      <c r="C249" s="192">
        <v>582</v>
      </c>
      <c r="D249" s="192">
        <v>51</v>
      </c>
      <c r="E249" s="309">
        <v>90</v>
      </c>
      <c r="F249" s="613"/>
      <c r="G249" s="658"/>
      <c r="H249" s="661"/>
      <c r="I249" s="658"/>
      <c r="J249" s="658"/>
      <c r="K249" s="661"/>
    </row>
    <row r="250" spans="2:11" x14ac:dyDescent="0.25">
      <c r="B250" s="496"/>
      <c r="C250" s="188">
        <v>147</v>
      </c>
      <c r="D250" s="188">
        <v>26</v>
      </c>
      <c r="E250" s="308">
        <v>51</v>
      </c>
      <c r="F250" s="613"/>
      <c r="G250" s="658"/>
      <c r="H250" s="661"/>
      <c r="I250" s="658"/>
      <c r="J250" s="658"/>
      <c r="K250" s="661"/>
    </row>
    <row r="251" spans="2:11" x14ac:dyDescent="0.25">
      <c r="B251" s="496"/>
      <c r="C251" s="192">
        <v>585</v>
      </c>
      <c r="D251" s="192">
        <v>95</v>
      </c>
      <c r="E251" s="309">
        <v>163</v>
      </c>
      <c r="F251" s="613"/>
      <c r="G251" s="658"/>
      <c r="H251" s="661"/>
      <c r="I251" s="658"/>
      <c r="J251" s="658"/>
      <c r="K251" s="661"/>
    </row>
    <row r="252" spans="2:11" x14ac:dyDescent="0.25">
      <c r="B252" s="496"/>
      <c r="C252" s="188">
        <v>364</v>
      </c>
      <c r="D252" s="188">
        <v>67</v>
      </c>
      <c r="E252" s="308">
        <v>64</v>
      </c>
      <c r="F252" s="613"/>
      <c r="G252" s="658"/>
      <c r="H252" s="661"/>
      <c r="I252" s="658"/>
      <c r="J252" s="658"/>
      <c r="K252" s="661"/>
    </row>
    <row r="253" spans="2:11" x14ac:dyDescent="0.25">
      <c r="B253" s="496"/>
      <c r="C253" s="192">
        <v>101</v>
      </c>
      <c r="D253" s="192">
        <v>27</v>
      </c>
      <c r="E253" s="309">
        <v>37</v>
      </c>
      <c r="F253" s="613"/>
      <c r="G253" s="658"/>
      <c r="H253" s="661"/>
      <c r="I253" s="658"/>
      <c r="J253" s="658"/>
      <c r="K253" s="661"/>
    </row>
    <row r="254" spans="2:11" x14ac:dyDescent="0.25">
      <c r="B254" s="496"/>
      <c r="C254" s="190">
        <v>147</v>
      </c>
      <c r="D254" s="190">
        <v>48</v>
      </c>
      <c r="E254" s="310">
        <v>82</v>
      </c>
      <c r="F254" s="613"/>
      <c r="G254" s="658"/>
      <c r="H254" s="661"/>
      <c r="I254" s="658"/>
      <c r="J254" s="658"/>
      <c r="K254" s="661"/>
    </row>
    <row r="255" spans="2:11" x14ac:dyDescent="0.25">
      <c r="B255" s="496"/>
      <c r="C255" s="190">
        <v>205</v>
      </c>
      <c r="D255" s="190">
        <v>76</v>
      </c>
      <c r="E255" s="310">
        <v>47</v>
      </c>
      <c r="F255" s="613"/>
      <c r="G255" s="658"/>
      <c r="H255" s="661"/>
      <c r="I255" s="658"/>
      <c r="J255" s="658"/>
      <c r="K255" s="661"/>
    </row>
    <row r="256" spans="2:11" x14ac:dyDescent="0.25">
      <c r="B256" s="496"/>
      <c r="C256" s="188">
        <v>97</v>
      </c>
      <c r="D256" s="188">
        <v>32</v>
      </c>
      <c r="E256" s="308">
        <v>18</v>
      </c>
      <c r="F256" s="613"/>
      <c r="G256" s="658"/>
      <c r="H256" s="661"/>
      <c r="I256" s="658"/>
      <c r="J256" s="658"/>
      <c r="K256" s="661"/>
    </row>
    <row r="257" spans="2:11" x14ac:dyDescent="0.25">
      <c r="B257" s="496"/>
      <c r="C257" s="192">
        <v>321</v>
      </c>
      <c r="D257" s="192">
        <v>26</v>
      </c>
      <c r="E257" s="309">
        <v>51</v>
      </c>
      <c r="F257" s="613"/>
      <c r="G257" s="658"/>
      <c r="H257" s="661"/>
      <c r="I257" s="658"/>
      <c r="J257" s="658"/>
      <c r="K257" s="661"/>
    </row>
    <row r="258" spans="2:11" x14ac:dyDescent="0.25">
      <c r="B258" s="496"/>
      <c r="C258" s="192">
        <v>11000</v>
      </c>
      <c r="D258" s="192">
        <v>843</v>
      </c>
      <c r="E258" s="309">
        <v>5358</v>
      </c>
      <c r="F258" s="613"/>
      <c r="G258" s="658"/>
      <c r="H258" s="661"/>
      <c r="I258" s="658"/>
      <c r="J258" s="658"/>
      <c r="K258" s="661"/>
    </row>
    <row r="259" spans="2:11" x14ac:dyDescent="0.25">
      <c r="B259" s="496"/>
      <c r="C259" s="192">
        <v>531</v>
      </c>
      <c r="D259" s="192">
        <v>24</v>
      </c>
      <c r="E259" s="309">
        <v>136</v>
      </c>
      <c r="F259" s="613"/>
      <c r="G259" s="658"/>
      <c r="H259" s="661"/>
      <c r="I259" s="658"/>
      <c r="J259" s="658"/>
      <c r="K259" s="661"/>
    </row>
    <row r="260" spans="2:11" x14ac:dyDescent="0.25">
      <c r="B260" s="496"/>
      <c r="C260" s="188">
        <v>345</v>
      </c>
      <c r="D260" s="188">
        <v>37</v>
      </c>
      <c r="E260" s="308">
        <v>36</v>
      </c>
      <c r="F260" s="613"/>
      <c r="G260" s="658"/>
      <c r="H260" s="661"/>
      <c r="I260" s="658"/>
      <c r="J260" s="658"/>
      <c r="K260" s="661"/>
    </row>
    <row r="261" spans="2:11" x14ac:dyDescent="0.25">
      <c r="B261" s="496"/>
      <c r="C261" s="188">
        <v>102</v>
      </c>
      <c r="D261" s="188">
        <v>39</v>
      </c>
      <c r="E261" s="308">
        <v>30</v>
      </c>
      <c r="F261" s="613"/>
      <c r="G261" s="658"/>
      <c r="H261" s="661"/>
      <c r="I261" s="658"/>
      <c r="J261" s="658"/>
      <c r="K261" s="661"/>
    </row>
    <row r="262" spans="2:11" x14ac:dyDescent="0.25">
      <c r="B262" s="496"/>
      <c r="C262" s="192">
        <v>708</v>
      </c>
      <c r="D262" s="192">
        <v>32</v>
      </c>
      <c r="E262" s="309">
        <v>83</v>
      </c>
      <c r="F262" s="613"/>
      <c r="G262" s="658"/>
      <c r="H262" s="661"/>
      <c r="I262" s="658"/>
      <c r="J262" s="658"/>
      <c r="K262" s="661"/>
    </row>
    <row r="263" spans="2:11" x14ac:dyDescent="0.25">
      <c r="B263" s="496"/>
      <c r="C263" s="188">
        <v>74</v>
      </c>
      <c r="D263" s="188">
        <v>28</v>
      </c>
      <c r="E263" s="308">
        <v>32</v>
      </c>
      <c r="F263" s="613"/>
      <c r="G263" s="658"/>
      <c r="H263" s="661"/>
      <c r="I263" s="658"/>
      <c r="J263" s="658"/>
      <c r="K263" s="661"/>
    </row>
    <row r="264" spans="2:11" x14ac:dyDescent="0.25">
      <c r="B264" s="496"/>
      <c r="C264" s="188">
        <v>204</v>
      </c>
      <c r="D264" s="188">
        <v>10</v>
      </c>
      <c r="E264" s="308">
        <v>66</v>
      </c>
      <c r="F264" s="613"/>
      <c r="G264" s="658"/>
      <c r="H264" s="661"/>
      <c r="I264" s="658"/>
      <c r="J264" s="658"/>
      <c r="K264" s="661"/>
    </row>
    <row r="265" spans="2:11" x14ac:dyDescent="0.25">
      <c r="B265" s="496"/>
      <c r="C265" s="188">
        <v>62</v>
      </c>
      <c r="D265" s="188">
        <v>26</v>
      </c>
      <c r="E265" s="308">
        <v>12</v>
      </c>
      <c r="F265" s="613"/>
      <c r="G265" s="658"/>
      <c r="H265" s="661"/>
      <c r="I265" s="658"/>
      <c r="J265" s="658"/>
      <c r="K265" s="661"/>
    </row>
    <row r="266" spans="2:11" x14ac:dyDescent="0.25">
      <c r="B266" s="496"/>
      <c r="C266" s="192">
        <v>71</v>
      </c>
      <c r="D266" s="192">
        <v>29</v>
      </c>
      <c r="E266" s="309">
        <v>12</v>
      </c>
      <c r="F266" s="613"/>
      <c r="G266" s="658"/>
      <c r="H266" s="661"/>
      <c r="I266" s="658"/>
      <c r="J266" s="658"/>
      <c r="K266" s="661"/>
    </row>
    <row r="267" spans="2:11" x14ac:dyDescent="0.25">
      <c r="B267" s="496"/>
      <c r="C267" s="245">
        <v>617</v>
      </c>
      <c r="D267" s="245">
        <v>111</v>
      </c>
      <c r="E267" s="360">
        <v>95</v>
      </c>
      <c r="F267" s="613"/>
      <c r="G267" s="658"/>
      <c r="H267" s="661"/>
      <c r="I267" s="658"/>
      <c r="J267" s="658"/>
      <c r="K267" s="661"/>
    </row>
    <row r="268" spans="2:11" x14ac:dyDescent="0.25">
      <c r="B268" s="496"/>
      <c r="C268" s="192">
        <v>375</v>
      </c>
      <c r="D268" s="192">
        <v>78</v>
      </c>
      <c r="E268" s="309">
        <v>102</v>
      </c>
      <c r="F268" s="613"/>
      <c r="G268" s="658"/>
      <c r="H268" s="661"/>
      <c r="I268" s="658"/>
      <c r="J268" s="658"/>
      <c r="K268" s="661"/>
    </row>
    <row r="269" spans="2:11" x14ac:dyDescent="0.25">
      <c r="B269" s="496"/>
      <c r="C269" s="188">
        <v>24488</v>
      </c>
      <c r="D269" s="188">
        <v>886</v>
      </c>
      <c r="E269" s="308">
        <v>8634</v>
      </c>
      <c r="F269" s="613"/>
      <c r="G269" s="658"/>
      <c r="H269" s="661"/>
      <c r="I269" s="658"/>
      <c r="J269" s="658"/>
      <c r="K269" s="661"/>
    </row>
    <row r="270" spans="2:11" x14ac:dyDescent="0.25">
      <c r="B270" s="496"/>
      <c r="C270" s="192">
        <v>132</v>
      </c>
      <c r="D270" s="192">
        <v>22</v>
      </c>
      <c r="E270" s="309">
        <v>50</v>
      </c>
      <c r="F270" s="613"/>
      <c r="G270" s="658"/>
      <c r="H270" s="661"/>
      <c r="I270" s="658"/>
      <c r="J270" s="658"/>
      <c r="K270" s="661"/>
    </row>
    <row r="271" spans="2:11" x14ac:dyDescent="0.25">
      <c r="B271" s="496"/>
      <c r="C271" s="188">
        <v>84</v>
      </c>
      <c r="D271" s="188">
        <v>20</v>
      </c>
      <c r="E271" s="308">
        <v>21</v>
      </c>
      <c r="F271" s="613"/>
      <c r="G271" s="658"/>
      <c r="H271" s="661"/>
      <c r="I271" s="658"/>
      <c r="J271" s="658"/>
      <c r="K271" s="661"/>
    </row>
    <row r="272" spans="2:11" x14ac:dyDescent="0.25">
      <c r="B272" s="496"/>
      <c r="C272" s="192">
        <v>531</v>
      </c>
      <c r="D272" s="192">
        <v>146</v>
      </c>
      <c r="E272" s="309">
        <v>106</v>
      </c>
      <c r="F272" s="613"/>
      <c r="G272" s="658"/>
      <c r="H272" s="661"/>
      <c r="I272" s="658"/>
      <c r="J272" s="658"/>
      <c r="K272" s="661"/>
    </row>
    <row r="273" spans="2:11" x14ac:dyDescent="0.25">
      <c r="B273" s="496"/>
      <c r="C273" s="192">
        <v>183</v>
      </c>
      <c r="D273" s="192">
        <v>30</v>
      </c>
      <c r="E273" s="309">
        <v>66</v>
      </c>
      <c r="F273" s="613"/>
      <c r="G273" s="658"/>
      <c r="H273" s="661"/>
      <c r="I273" s="658"/>
      <c r="J273" s="658"/>
      <c r="K273" s="661"/>
    </row>
    <row r="274" spans="2:11" x14ac:dyDescent="0.25">
      <c r="B274" s="496"/>
      <c r="C274" s="190">
        <v>1300</v>
      </c>
      <c r="D274" s="190">
        <v>87</v>
      </c>
      <c r="E274" s="310">
        <v>228</v>
      </c>
      <c r="F274" s="613"/>
      <c r="G274" s="658"/>
      <c r="H274" s="661"/>
      <c r="I274" s="658"/>
      <c r="J274" s="658"/>
      <c r="K274" s="661"/>
    </row>
    <row r="275" spans="2:11" x14ac:dyDescent="0.25">
      <c r="B275" s="496"/>
      <c r="C275" s="192">
        <v>188</v>
      </c>
      <c r="D275" s="192">
        <v>49</v>
      </c>
      <c r="E275" s="309">
        <v>45</v>
      </c>
      <c r="F275" s="613"/>
      <c r="G275" s="658"/>
      <c r="H275" s="661"/>
      <c r="I275" s="658"/>
      <c r="J275" s="658"/>
      <c r="K275" s="661"/>
    </row>
    <row r="276" spans="2:11" x14ac:dyDescent="0.25">
      <c r="B276" s="496"/>
      <c r="C276" s="192">
        <v>197</v>
      </c>
      <c r="D276" s="192">
        <v>34</v>
      </c>
      <c r="E276" s="309">
        <v>28</v>
      </c>
      <c r="F276" s="613"/>
      <c r="G276" s="658"/>
      <c r="H276" s="661"/>
      <c r="I276" s="658"/>
      <c r="J276" s="658"/>
      <c r="K276" s="661"/>
    </row>
    <row r="277" spans="2:11" x14ac:dyDescent="0.25">
      <c r="B277" s="496"/>
      <c r="C277" s="188">
        <v>664</v>
      </c>
      <c r="D277" s="188">
        <v>185</v>
      </c>
      <c r="E277" s="308">
        <v>306</v>
      </c>
      <c r="F277" s="613"/>
      <c r="G277" s="658"/>
      <c r="H277" s="661"/>
      <c r="I277" s="658"/>
      <c r="J277" s="658"/>
      <c r="K277" s="661"/>
    </row>
    <row r="278" spans="2:11" x14ac:dyDescent="0.25">
      <c r="B278" s="496"/>
      <c r="C278" s="188">
        <v>183</v>
      </c>
      <c r="D278" s="188">
        <v>43</v>
      </c>
      <c r="E278" s="308">
        <v>36</v>
      </c>
      <c r="F278" s="613"/>
      <c r="G278" s="658"/>
      <c r="H278" s="661"/>
      <c r="I278" s="658"/>
      <c r="J278" s="658"/>
      <c r="K278" s="661"/>
    </row>
    <row r="279" spans="2:11" x14ac:dyDescent="0.25">
      <c r="B279" s="496"/>
      <c r="C279" s="188">
        <v>123</v>
      </c>
      <c r="D279" s="188">
        <v>22</v>
      </c>
      <c r="E279" s="308">
        <v>17</v>
      </c>
      <c r="F279" s="613"/>
      <c r="G279" s="658"/>
      <c r="H279" s="661"/>
      <c r="I279" s="658"/>
      <c r="J279" s="658"/>
      <c r="K279" s="661"/>
    </row>
    <row r="280" spans="2:11" x14ac:dyDescent="0.25">
      <c r="B280" s="496"/>
      <c r="C280" s="192">
        <v>173</v>
      </c>
      <c r="D280" s="192">
        <v>92</v>
      </c>
      <c r="E280" s="309">
        <v>45</v>
      </c>
      <c r="F280" s="613"/>
      <c r="G280" s="658"/>
      <c r="H280" s="661"/>
      <c r="I280" s="658"/>
      <c r="J280" s="658"/>
      <c r="K280" s="661"/>
    </row>
    <row r="281" spans="2:11" x14ac:dyDescent="0.25">
      <c r="B281" s="496"/>
      <c r="C281" s="188">
        <v>432</v>
      </c>
      <c r="D281" s="188">
        <v>83</v>
      </c>
      <c r="E281" s="308">
        <v>121</v>
      </c>
      <c r="F281" s="613"/>
      <c r="G281" s="658"/>
      <c r="H281" s="661"/>
      <c r="I281" s="658"/>
      <c r="J281" s="658"/>
      <c r="K281" s="661"/>
    </row>
    <row r="282" spans="2:11" x14ac:dyDescent="0.25">
      <c r="B282" s="496"/>
      <c r="C282" s="190">
        <v>280</v>
      </c>
      <c r="D282" s="190">
        <v>64</v>
      </c>
      <c r="E282" s="310">
        <v>61</v>
      </c>
      <c r="F282" s="613"/>
      <c r="G282" s="658"/>
      <c r="H282" s="661"/>
      <c r="I282" s="658"/>
      <c r="J282" s="658"/>
      <c r="K282" s="661"/>
    </row>
    <row r="283" spans="2:11" x14ac:dyDescent="0.25">
      <c r="B283" s="496"/>
      <c r="C283" s="190">
        <v>100</v>
      </c>
      <c r="D283" s="190">
        <v>32</v>
      </c>
      <c r="E283" s="310">
        <v>24</v>
      </c>
      <c r="F283" s="613"/>
      <c r="G283" s="658"/>
      <c r="H283" s="661"/>
      <c r="I283" s="658"/>
      <c r="J283" s="658"/>
      <c r="K283" s="661"/>
    </row>
    <row r="284" spans="2:11" x14ac:dyDescent="0.25">
      <c r="B284" s="496"/>
      <c r="C284" s="190">
        <v>1900</v>
      </c>
      <c r="D284" s="190">
        <v>81</v>
      </c>
      <c r="E284" s="310">
        <v>336</v>
      </c>
      <c r="F284" s="613"/>
      <c r="G284" s="658"/>
      <c r="H284" s="661"/>
      <c r="I284" s="658"/>
      <c r="J284" s="658"/>
      <c r="K284" s="661"/>
    </row>
    <row r="285" spans="2:11" x14ac:dyDescent="0.25">
      <c r="B285" s="496"/>
      <c r="C285" s="192">
        <v>136</v>
      </c>
      <c r="D285" s="192">
        <v>45</v>
      </c>
      <c r="E285" s="309">
        <v>24</v>
      </c>
      <c r="F285" s="613"/>
      <c r="G285" s="658"/>
      <c r="H285" s="661"/>
      <c r="I285" s="658"/>
      <c r="J285" s="658"/>
      <c r="K285" s="661"/>
    </row>
    <row r="286" spans="2:11" x14ac:dyDescent="0.25">
      <c r="B286" s="496"/>
      <c r="C286" s="192">
        <v>178</v>
      </c>
      <c r="D286" s="192">
        <v>68</v>
      </c>
      <c r="E286" s="309">
        <v>79</v>
      </c>
      <c r="F286" s="613"/>
      <c r="G286" s="658"/>
      <c r="H286" s="661"/>
      <c r="I286" s="658"/>
      <c r="J286" s="658"/>
      <c r="K286" s="661"/>
    </row>
    <row r="287" spans="2:11" x14ac:dyDescent="0.25">
      <c r="B287" s="497"/>
      <c r="C287" s="192">
        <v>379</v>
      </c>
      <c r="D287" s="192">
        <v>51</v>
      </c>
      <c r="E287" s="309">
        <v>62</v>
      </c>
      <c r="F287" s="614"/>
      <c r="G287" s="659"/>
      <c r="H287" s="662"/>
      <c r="I287" s="659"/>
      <c r="J287" s="659"/>
      <c r="K287" s="662"/>
    </row>
    <row r="288" spans="2:11" x14ac:dyDescent="0.25">
      <c r="B288" s="609" t="s">
        <v>302</v>
      </c>
      <c r="C288" s="297">
        <v>1400</v>
      </c>
      <c r="D288" s="297">
        <v>59</v>
      </c>
      <c r="E288" s="298">
        <v>136</v>
      </c>
      <c r="F288" s="606">
        <f>+SUM(C288:C290)</f>
        <v>3119</v>
      </c>
      <c r="G288" s="588">
        <f>+SUM(D288:D290)</f>
        <v>181</v>
      </c>
      <c r="H288" s="591">
        <f>+SUM(E288:E290)</f>
        <v>444</v>
      </c>
      <c r="I288" s="594">
        <f>+AVERAGE(C288:C290)</f>
        <v>1039.6666666666667</v>
      </c>
      <c r="J288" s="588">
        <f>+AVERAGE(D288:D290)</f>
        <v>60.333333333333336</v>
      </c>
      <c r="K288" s="591">
        <f>+AVERAGE(E288:E290)</f>
        <v>148</v>
      </c>
    </row>
    <row r="289" spans="2:12" x14ac:dyDescent="0.25">
      <c r="B289" s="610"/>
      <c r="C289" s="297">
        <v>1400</v>
      </c>
      <c r="D289" s="297">
        <v>83</v>
      </c>
      <c r="E289" s="298">
        <v>242</v>
      </c>
      <c r="F289" s="607"/>
      <c r="G289" s="589"/>
      <c r="H289" s="592"/>
      <c r="I289" s="595"/>
      <c r="J289" s="589"/>
      <c r="K289" s="592"/>
    </row>
    <row r="290" spans="2:12" x14ac:dyDescent="0.25">
      <c r="B290" s="611"/>
      <c r="C290" s="297">
        <v>319</v>
      </c>
      <c r="D290" s="297">
        <v>39</v>
      </c>
      <c r="E290" s="298">
        <v>66</v>
      </c>
      <c r="F290" s="618"/>
      <c r="G290" s="616"/>
      <c r="H290" s="615"/>
      <c r="I290" s="617"/>
      <c r="J290" s="616"/>
      <c r="K290" s="615"/>
    </row>
    <row r="291" spans="2:12" x14ac:dyDescent="0.25">
      <c r="B291" s="551" t="s">
        <v>345</v>
      </c>
      <c r="C291" s="188">
        <v>521</v>
      </c>
      <c r="D291" s="188">
        <v>53</v>
      </c>
      <c r="E291" s="308">
        <v>211</v>
      </c>
      <c r="F291" s="620">
        <f>+SUM(C291:C293)</f>
        <v>773</v>
      </c>
      <c r="G291" s="622">
        <f>+SUM(D291:D293)</f>
        <v>102</v>
      </c>
      <c r="H291" s="650">
        <f>+SUM(E291:E293)</f>
        <v>247</v>
      </c>
      <c r="I291" s="652">
        <f>+AVERAGE(C291:C293)</f>
        <v>257.66666666666669</v>
      </c>
      <c r="J291" s="622">
        <f>+AVERAGE(D291:D293)</f>
        <v>34</v>
      </c>
      <c r="K291" s="650">
        <f>+AVERAGE(E291:E293)</f>
        <v>82.333333333333329</v>
      </c>
    </row>
    <row r="292" spans="2:12" x14ac:dyDescent="0.25">
      <c r="B292" s="552"/>
      <c r="C292" s="192">
        <v>64</v>
      </c>
      <c r="D292" s="192">
        <v>30</v>
      </c>
      <c r="E292" s="309">
        <v>16</v>
      </c>
      <c r="F292" s="620"/>
      <c r="G292" s="622"/>
      <c r="H292" s="650"/>
      <c r="I292" s="652"/>
      <c r="J292" s="622"/>
      <c r="K292" s="650"/>
    </row>
    <row r="293" spans="2:12" ht="15.75" thickBot="1" x14ac:dyDescent="0.3">
      <c r="B293" s="619"/>
      <c r="C293" s="361">
        <v>188</v>
      </c>
      <c r="D293" s="361">
        <v>19</v>
      </c>
      <c r="E293" s="362">
        <v>20</v>
      </c>
      <c r="F293" s="621"/>
      <c r="G293" s="623"/>
      <c r="H293" s="651"/>
      <c r="I293" s="653"/>
      <c r="J293" s="623"/>
      <c r="K293" s="651"/>
    </row>
    <row r="298" spans="2:12" s="15" customFormat="1" x14ac:dyDescent="0.25">
      <c r="B298" s="16"/>
      <c r="F298" s="16"/>
      <c r="G298" s="16"/>
      <c r="H298" s="16"/>
      <c r="I298" s="16"/>
      <c r="J298" s="16"/>
      <c r="K298" s="16"/>
    </row>
    <row r="299" spans="2:12" x14ac:dyDescent="0.25">
      <c r="B299" s="38"/>
      <c r="C299" s="39"/>
      <c r="D299" s="39"/>
      <c r="E299" s="39"/>
      <c r="F299" s="38"/>
      <c r="G299" s="38"/>
      <c r="H299" s="38"/>
      <c r="I299" s="38"/>
      <c r="J299" s="38"/>
      <c r="K299" s="38"/>
    </row>
    <row r="300" spans="2:12" x14ac:dyDescent="0.25">
      <c r="B300" s="38"/>
      <c r="C300" s="39"/>
      <c r="D300" s="39"/>
      <c r="E300" s="39"/>
      <c r="F300" s="38"/>
      <c r="G300" s="38"/>
      <c r="H300" s="38"/>
      <c r="I300" s="38"/>
      <c r="J300" s="38"/>
      <c r="K300" s="38"/>
    </row>
    <row r="301" spans="2:12" ht="15" customHeight="1" x14ac:dyDescent="0.25">
      <c r="B301" s="39"/>
      <c r="C301" s="39"/>
      <c r="D301" s="39"/>
      <c r="E301" s="39"/>
      <c r="F301" s="38"/>
      <c r="G301" s="38"/>
      <c r="H301" s="38"/>
      <c r="I301" s="38"/>
      <c r="J301" s="39"/>
      <c r="K301" s="39"/>
    </row>
    <row r="302" spans="2:12" ht="15.75" customHeight="1" thickBot="1" x14ac:dyDescent="0.3">
      <c r="F302" s="10"/>
      <c r="G302" s="10"/>
      <c r="H302" s="10"/>
      <c r="I302" s="10"/>
      <c r="J302" s="39"/>
      <c r="K302" s="39"/>
    </row>
    <row r="303" spans="2:12" ht="27" thickBot="1" x14ac:dyDescent="0.45">
      <c r="B303" s="394" t="s">
        <v>397</v>
      </c>
      <c r="C303" s="395"/>
      <c r="D303" s="395"/>
      <c r="E303" s="395"/>
      <c r="F303" s="395"/>
      <c r="G303" s="395"/>
      <c r="H303" s="395"/>
      <c r="I303" s="396"/>
      <c r="J303" s="39"/>
      <c r="K303" s="39"/>
    </row>
    <row r="304" spans="2:12" ht="21.75" thickBot="1" x14ac:dyDescent="0.4">
      <c r="B304" s="397" t="s">
        <v>475</v>
      </c>
      <c r="C304" s="398"/>
      <c r="D304" s="398"/>
      <c r="E304" s="398"/>
      <c r="F304" s="398"/>
      <c r="G304" s="398"/>
      <c r="H304" s="398"/>
      <c r="I304" s="399"/>
      <c r="J304" s="38"/>
      <c r="K304" s="38"/>
      <c r="L304" s="10"/>
    </row>
    <row r="305" spans="2:12" ht="15.75" thickBot="1" x14ac:dyDescent="0.3">
      <c r="F305" s="10"/>
      <c r="G305" s="10"/>
      <c r="H305" s="10"/>
      <c r="I305" s="10"/>
      <c r="J305" s="38"/>
      <c r="K305" s="38"/>
      <c r="L305" s="10"/>
    </row>
    <row r="306" spans="2:12" ht="18.75" x14ac:dyDescent="0.25">
      <c r="B306" s="104"/>
      <c r="C306" s="105"/>
      <c r="D306" s="418" t="s">
        <v>436</v>
      </c>
      <c r="E306" s="418"/>
      <c r="F306" s="418"/>
      <c r="G306" s="419" t="s">
        <v>390</v>
      </c>
      <c r="H306" s="419"/>
      <c r="I306" s="420"/>
      <c r="J306" s="38"/>
      <c r="K306" s="38"/>
      <c r="L306" s="10"/>
    </row>
    <row r="307" spans="2:12" ht="18.75" x14ac:dyDescent="0.25">
      <c r="B307" s="70" t="s">
        <v>261</v>
      </c>
      <c r="C307" s="71" t="s">
        <v>435</v>
      </c>
      <c r="D307" s="96" t="s">
        <v>473</v>
      </c>
      <c r="E307" s="96" t="s">
        <v>267</v>
      </c>
      <c r="F307" s="96" t="s">
        <v>268</v>
      </c>
      <c r="G307" s="71" t="s">
        <v>473</v>
      </c>
      <c r="H307" s="71" t="s">
        <v>267</v>
      </c>
      <c r="I307" s="72" t="s">
        <v>268</v>
      </c>
      <c r="J307" s="38"/>
      <c r="K307" s="38"/>
      <c r="L307" s="10"/>
    </row>
    <row r="308" spans="2:12" x14ac:dyDescent="0.25">
      <c r="B308" s="78" t="s">
        <v>387</v>
      </c>
      <c r="C308" s="79">
        <v>7</v>
      </c>
      <c r="D308" s="83">
        <v>12142</v>
      </c>
      <c r="E308" s="79">
        <v>1019</v>
      </c>
      <c r="F308" s="79">
        <v>1922</v>
      </c>
      <c r="G308" s="98">
        <v>1734.5714285714287</v>
      </c>
      <c r="H308" s="98">
        <v>145.57142857142858</v>
      </c>
      <c r="I308" s="99">
        <v>274.57142857142856</v>
      </c>
      <c r="J308" s="38"/>
      <c r="K308" s="38"/>
      <c r="L308" s="10"/>
    </row>
    <row r="309" spans="2:12" x14ac:dyDescent="0.25">
      <c r="B309" s="26" t="s">
        <v>438</v>
      </c>
      <c r="C309" s="32">
        <v>43</v>
      </c>
      <c r="D309" s="32">
        <v>74960</v>
      </c>
      <c r="E309" s="32">
        <v>3641</v>
      </c>
      <c r="F309" s="32">
        <v>5749</v>
      </c>
      <c r="G309" s="100">
        <v>1743.2558139534883</v>
      </c>
      <c r="H309" s="100">
        <v>84.674418604651166</v>
      </c>
      <c r="I309" s="101">
        <v>133.69767441860466</v>
      </c>
      <c r="J309" s="38"/>
      <c r="K309" s="38"/>
      <c r="L309" s="10"/>
    </row>
    <row r="310" spans="2:12" x14ac:dyDescent="0.25">
      <c r="B310" s="78" t="s">
        <v>276</v>
      </c>
      <c r="C310" s="79">
        <v>172</v>
      </c>
      <c r="D310" s="79">
        <v>122013</v>
      </c>
      <c r="E310" s="79">
        <v>12645</v>
      </c>
      <c r="F310" s="79">
        <v>32951</v>
      </c>
      <c r="G310" s="98">
        <v>709.37790697674416</v>
      </c>
      <c r="H310" s="98">
        <v>73.517441860465112</v>
      </c>
      <c r="I310" s="99">
        <v>191.57558139534885</v>
      </c>
      <c r="J310" s="38"/>
      <c r="K310" s="38"/>
      <c r="L310" s="10"/>
    </row>
    <row r="311" spans="2:12" x14ac:dyDescent="0.25">
      <c r="B311" s="26" t="s">
        <v>439</v>
      </c>
      <c r="C311" s="32">
        <v>18</v>
      </c>
      <c r="D311" s="32">
        <v>9627</v>
      </c>
      <c r="E311" s="32">
        <v>903</v>
      </c>
      <c r="F311" s="32">
        <v>1781</v>
      </c>
      <c r="G311" s="100">
        <v>534.83333333333337</v>
      </c>
      <c r="H311" s="100">
        <v>50.166666666666664</v>
      </c>
      <c r="I311" s="101">
        <v>98.944444444444443</v>
      </c>
      <c r="J311" s="10"/>
      <c r="K311" s="10"/>
      <c r="L311" s="10"/>
    </row>
    <row r="312" spans="2:12" ht="15.75" thickBot="1" x14ac:dyDescent="0.3">
      <c r="B312" s="80" t="s">
        <v>440</v>
      </c>
      <c r="C312" s="106">
        <v>12</v>
      </c>
      <c r="D312" s="81">
        <v>17749</v>
      </c>
      <c r="E312" s="81">
        <v>660</v>
      </c>
      <c r="F312" s="81">
        <v>10568</v>
      </c>
      <c r="G312" s="107">
        <v>1479.0833333333333</v>
      </c>
      <c r="H312" s="107">
        <v>55</v>
      </c>
      <c r="I312" s="108">
        <v>880.66666666666663</v>
      </c>
      <c r="J312" s="10"/>
      <c r="K312" s="10"/>
      <c r="L312" s="10"/>
    </row>
    <row r="313" spans="2:12" x14ac:dyDescent="0.25">
      <c r="F313" s="10"/>
      <c r="G313" s="10"/>
      <c r="H313" s="10"/>
      <c r="I313" s="10"/>
      <c r="J313" s="10"/>
      <c r="K313" s="10"/>
      <c r="L313" s="10"/>
    </row>
    <row r="314" spans="2:12" x14ac:dyDescent="0.25">
      <c r="F314" s="10"/>
      <c r="G314" s="10"/>
      <c r="H314" s="10"/>
      <c r="I314" s="10"/>
      <c r="J314" s="10"/>
      <c r="K314" s="10"/>
      <c r="L314" s="10"/>
    </row>
    <row r="315" spans="2:12" x14ac:dyDescent="0.25">
      <c r="F315" s="10"/>
      <c r="G315" s="10"/>
      <c r="H315" s="10"/>
      <c r="I315" s="10"/>
      <c r="J315" s="10"/>
      <c r="K315" s="10"/>
      <c r="L315" s="10"/>
    </row>
    <row r="316" spans="2:12" x14ac:dyDescent="0.25">
      <c r="F316" s="10"/>
      <c r="G316" s="10"/>
      <c r="H316" s="10"/>
      <c r="I316" s="10"/>
      <c r="J316" s="10"/>
      <c r="K316" s="10"/>
      <c r="L316" s="10"/>
    </row>
    <row r="317" spans="2:12" x14ac:dyDescent="0.25">
      <c r="F317" s="10"/>
      <c r="G317" s="10"/>
      <c r="H317" s="10"/>
      <c r="I317" s="10"/>
      <c r="J317" s="10"/>
      <c r="K317" s="10"/>
      <c r="L317" s="10"/>
    </row>
    <row r="318" spans="2:12" x14ac:dyDescent="0.25">
      <c r="F318" s="10"/>
      <c r="G318" s="10"/>
      <c r="H318" s="10"/>
      <c r="I318" s="10"/>
      <c r="J318" s="10"/>
      <c r="K318" s="10"/>
      <c r="L318" s="10"/>
    </row>
    <row r="319" spans="2:12" x14ac:dyDescent="0.25">
      <c r="F319" s="10"/>
      <c r="G319" s="10"/>
      <c r="H319" s="10"/>
      <c r="I319" s="10"/>
      <c r="J319" s="10"/>
      <c r="K319" s="10"/>
      <c r="L319" s="10"/>
    </row>
    <row r="320" spans="2:12" x14ac:dyDescent="0.25">
      <c r="F320" s="10"/>
      <c r="G320" s="10"/>
      <c r="H320" s="10"/>
      <c r="I320" s="10"/>
      <c r="J320" s="10"/>
      <c r="K320" s="10"/>
      <c r="L320" s="10"/>
    </row>
    <row r="321" spans="6:12" x14ac:dyDescent="0.25">
      <c r="F321" s="10"/>
      <c r="G321" s="10"/>
      <c r="H321" s="10"/>
      <c r="I321" s="10"/>
      <c r="J321" s="10"/>
      <c r="K321" s="10"/>
      <c r="L321" s="10"/>
    </row>
    <row r="322" spans="6:12" x14ac:dyDescent="0.25">
      <c r="F322" s="10"/>
      <c r="G322" s="10"/>
      <c r="H322" s="10"/>
      <c r="I322" s="10"/>
      <c r="J322" s="10"/>
      <c r="K322" s="10"/>
      <c r="L322" s="10"/>
    </row>
    <row r="323" spans="6:12" x14ac:dyDescent="0.25">
      <c r="F323" s="10"/>
      <c r="G323" s="10"/>
      <c r="H323" s="10"/>
      <c r="I323" s="10"/>
      <c r="J323" s="10"/>
      <c r="K323" s="10"/>
      <c r="L323" s="10"/>
    </row>
    <row r="324" spans="6:12" x14ac:dyDescent="0.25">
      <c r="F324" s="10"/>
      <c r="G324" s="10"/>
      <c r="H324" s="10"/>
      <c r="I324" s="10"/>
      <c r="J324" s="10"/>
      <c r="K324" s="10"/>
      <c r="L324" s="10"/>
    </row>
    <row r="325" spans="6:12" x14ac:dyDescent="0.25">
      <c r="F325" s="10"/>
      <c r="G325" s="10"/>
      <c r="H325" s="10"/>
      <c r="I325" s="10"/>
      <c r="J325" s="10"/>
      <c r="K325" s="10"/>
      <c r="L325" s="10"/>
    </row>
    <row r="326" spans="6:12" x14ac:dyDescent="0.25">
      <c r="J326" s="10"/>
      <c r="K326" s="10"/>
      <c r="L326" s="10"/>
    </row>
    <row r="327" spans="6:12" x14ac:dyDescent="0.25">
      <c r="J327" s="10"/>
      <c r="K327" s="10"/>
      <c r="L327" s="10"/>
    </row>
    <row r="328" spans="6:12" x14ac:dyDescent="0.25">
      <c r="J328" s="10"/>
      <c r="K328" s="10"/>
      <c r="L328" s="10"/>
    </row>
    <row r="329" spans="6:12" x14ac:dyDescent="0.25">
      <c r="J329" s="10"/>
      <c r="K329" s="10"/>
      <c r="L329" s="10"/>
    </row>
    <row r="330" spans="6:12" x14ac:dyDescent="0.25">
      <c r="J330" s="10"/>
      <c r="K330" s="10"/>
      <c r="L330" s="10"/>
    </row>
    <row r="331" spans="6:12" x14ac:dyDescent="0.25">
      <c r="J331" s="10"/>
      <c r="K331" s="10"/>
      <c r="L331" s="10"/>
    </row>
    <row r="332" spans="6:12" x14ac:dyDescent="0.25">
      <c r="J332" s="10"/>
      <c r="K332" s="10"/>
      <c r="L332" s="10"/>
    </row>
    <row r="333" spans="6:12" x14ac:dyDescent="0.25">
      <c r="J333" s="10"/>
      <c r="K333" s="10"/>
      <c r="L333" s="10"/>
    </row>
    <row r="334" spans="6:12" x14ac:dyDescent="0.25">
      <c r="J334" s="10"/>
      <c r="K334" s="10"/>
      <c r="L334" s="10"/>
    </row>
  </sheetData>
  <mergeCells count="133">
    <mergeCell ref="K13:K16"/>
    <mergeCell ref="B17:B26"/>
    <mergeCell ref="F17:F26"/>
    <mergeCell ref="G17:G26"/>
    <mergeCell ref="H17:H26"/>
    <mergeCell ref="I17:I26"/>
    <mergeCell ref="J17:J26"/>
    <mergeCell ref="K17:K26"/>
    <mergeCell ref="B7:K7"/>
    <mergeCell ref="B8:K8"/>
    <mergeCell ref="F11:H11"/>
    <mergeCell ref="I11:K11"/>
    <mergeCell ref="B13:B16"/>
    <mergeCell ref="F13:F16"/>
    <mergeCell ref="G13:G16"/>
    <mergeCell ref="H13:H16"/>
    <mergeCell ref="I13:I16"/>
    <mergeCell ref="J13:J16"/>
    <mergeCell ref="K27:K69"/>
    <mergeCell ref="B71:B73"/>
    <mergeCell ref="F71:F73"/>
    <mergeCell ref="G71:G73"/>
    <mergeCell ref="H71:H73"/>
    <mergeCell ref="I71:I73"/>
    <mergeCell ref="J71:J73"/>
    <mergeCell ref="K71:K73"/>
    <mergeCell ref="B27:B69"/>
    <mergeCell ref="F27:F69"/>
    <mergeCell ref="G27:G69"/>
    <mergeCell ref="H27:H69"/>
    <mergeCell ref="I27:I69"/>
    <mergeCell ref="J27:J69"/>
    <mergeCell ref="B78:K78"/>
    <mergeCell ref="B79:K79"/>
    <mergeCell ref="F81:H81"/>
    <mergeCell ref="I81:K81"/>
    <mergeCell ref="B83:B84"/>
    <mergeCell ref="F83:F84"/>
    <mergeCell ref="G83:G84"/>
    <mergeCell ref="H83:H84"/>
    <mergeCell ref="I83:I84"/>
    <mergeCell ref="J83:J84"/>
    <mergeCell ref="J146:J149"/>
    <mergeCell ref="K146:K149"/>
    <mergeCell ref="F103:F145"/>
    <mergeCell ref="G103:G145"/>
    <mergeCell ref="H103:H145"/>
    <mergeCell ref="I103:I145"/>
    <mergeCell ref="J103:J145"/>
    <mergeCell ref="K103:K145"/>
    <mergeCell ref="K83:K84"/>
    <mergeCell ref="J85:J102"/>
    <mergeCell ref="K85:K102"/>
    <mergeCell ref="B85:B102"/>
    <mergeCell ref="F85:F102"/>
    <mergeCell ref="G85:G102"/>
    <mergeCell ref="H85:H102"/>
    <mergeCell ref="I85:I102"/>
    <mergeCell ref="B146:B149"/>
    <mergeCell ref="B103:B145"/>
    <mergeCell ref="F146:F149"/>
    <mergeCell ref="G146:G149"/>
    <mergeCell ref="H146:H149"/>
    <mergeCell ref="I146:I149"/>
    <mergeCell ref="B244:B287"/>
    <mergeCell ref="K244:K287"/>
    <mergeCell ref="J244:J287"/>
    <mergeCell ref="I244:I287"/>
    <mergeCell ref="H244:H287"/>
    <mergeCell ref="B177:B218"/>
    <mergeCell ref="F177:F218"/>
    <mergeCell ref="G177:G218"/>
    <mergeCell ref="H177:H218"/>
    <mergeCell ref="I177:I218"/>
    <mergeCell ref="J177:J218"/>
    <mergeCell ref="K177:K218"/>
    <mergeCell ref="K219:K222"/>
    <mergeCell ref="B229:K229"/>
    <mergeCell ref="B234:B243"/>
    <mergeCell ref="K234:K243"/>
    <mergeCell ref="J234:J243"/>
    <mergeCell ref="I234:I243"/>
    <mergeCell ref="H234:H243"/>
    <mergeCell ref="G234:G243"/>
    <mergeCell ref="H291:H293"/>
    <mergeCell ref="I291:I293"/>
    <mergeCell ref="F234:F243"/>
    <mergeCell ref="J291:J293"/>
    <mergeCell ref="K291:K293"/>
    <mergeCell ref="G244:G287"/>
    <mergeCell ref="B230:K230"/>
    <mergeCell ref="F232:H232"/>
    <mergeCell ref="I232:K232"/>
    <mergeCell ref="B219:B222"/>
    <mergeCell ref="F219:F222"/>
    <mergeCell ref="G219:G222"/>
    <mergeCell ref="H219:H222"/>
    <mergeCell ref="I219:I222"/>
    <mergeCell ref="J219:J222"/>
    <mergeCell ref="I163:K163"/>
    <mergeCell ref="B166:B176"/>
    <mergeCell ref="F166:F176"/>
    <mergeCell ref="G166:G176"/>
    <mergeCell ref="H166:H176"/>
    <mergeCell ref="I166:I176"/>
    <mergeCell ref="B150:B154"/>
    <mergeCell ref="F150:F154"/>
    <mergeCell ref="G150:G154"/>
    <mergeCell ref="H150:H154"/>
    <mergeCell ref="I150:I154"/>
    <mergeCell ref="J150:J154"/>
    <mergeCell ref="J166:J176"/>
    <mergeCell ref="K166:K176"/>
    <mergeCell ref="B2:W4"/>
    <mergeCell ref="D306:F306"/>
    <mergeCell ref="G306:I306"/>
    <mergeCell ref="B303:I303"/>
    <mergeCell ref="B304:I304"/>
    <mergeCell ref="B288:B290"/>
    <mergeCell ref="F244:F287"/>
    <mergeCell ref="K288:K290"/>
    <mergeCell ref="J288:J290"/>
    <mergeCell ref="I288:I290"/>
    <mergeCell ref="H288:H290"/>
    <mergeCell ref="G288:G290"/>
    <mergeCell ref="F288:F290"/>
    <mergeCell ref="B291:B293"/>
    <mergeCell ref="F291:F293"/>
    <mergeCell ref="G291:G293"/>
    <mergeCell ref="K150:K154"/>
    <mergeCell ref="B160:K160"/>
    <mergeCell ref="B161:K161"/>
    <mergeCell ref="F163:H163"/>
  </mergeCells>
  <pageMargins left="0.7" right="0.7" top="0.75" bottom="0.75" header="0.3" footer="0.3"/>
  <pageSetup paperSize="9" scale="1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W20"/>
  <sheetViews>
    <sheetView showGridLines="0" zoomScale="40" zoomScaleNormal="40" zoomScaleSheetLayoutView="55" workbookViewId="0">
      <selection activeCell="H33" sqref="H33"/>
    </sheetView>
  </sheetViews>
  <sheetFormatPr defaultRowHeight="15" x14ac:dyDescent="0.25"/>
  <cols>
    <col min="2" max="2" width="40.140625" bestFit="1" customWidth="1"/>
    <col min="3" max="3" width="26.42578125" customWidth="1"/>
    <col min="4" max="4" width="18.140625" bestFit="1" customWidth="1"/>
    <col min="5" max="5" width="18.7109375" customWidth="1"/>
    <col min="6" max="6" width="18.7109375" bestFit="1" customWidth="1"/>
    <col min="7" max="7" width="19.7109375" customWidth="1"/>
    <col min="8" max="8" width="21.5703125" customWidth="1"/>
    <col min="9" max="9" width="15.7109375" customWidth="1"/>
  </cols>
  <sheetData>
    <row r="1" spans="2:23" ht="15.75" thickBot="1" x14ac:dyDescent="0.3"/>
    <row r="2" spans="2:23" x14ac:dyDescent="0.25">
      <c r="B2" s="409" t="s">
        <v>506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1"/>
    </row>
    <row r="3" spans="2:23" x14ac:dyDescent="0.25">
      <c r="B3" s="412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4"/>
    </row>
    <row r="4" spans="2:23" ht="15.75" thickBot="1" x14ac:dyDescent="0.3">
      <c r="B4" s="415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7"/>
    </row>
    <row r="6" spans="2:23" ht="15.75" thickBot="1" x14ac:dyDescent="0.3"/>
    <row r="7" spans="2:23" ht="27" thickBot="1" x14ac:dyDescent="0.45">
      <c r="B7" s="394" t="s">
        <v>397</v>
      </c>
      <c r="C7" s="395"/>
      <c r="D7" s="395"/>
      <c r="E7" s="395"/>
      <c r="F7" s="395"/>
      <c r="G7" s="395"/>
      <c r="H7" s="395"/>
      <c r="I7" s="396"/>
    </row>
    <row r="8" spans="2:23" ht="21.75" thickBot="1" x14ac:dyDescent="0.4">
      <c r="B8" s="397" t="s">
        <v>476</v>
      </c>
      <c r="C8" s="398"/>
      <c r="D8" s="398"/>
      <c r="E8" s="398"/>
      <c r="F8" s="398"/>
      <c r="G8" s="398"/>
      <c r="H8" s="398"/>
      <c r="I8" s="399"/>
    </row>
    <row r="9" spans="2:23" ht="15.75" thickBot="1" x14ac:dyDescent="0.3"/>
    <row r="10" spans="2:23" ht="18.75" x14ac:dyDescent="0.25">
      <c r="B10" s="67"/>
      <c r="C10" s="105"/>
      <c r="D10" s="418" t="s">
        <v>436</v>
      </c>
      <c r="E10" s="418"/>
      <c r="F10" s="418"/>
      <c r="G10" s="419" t="s">
        <v>390</v>
      </c>
      <c r="H10" s="419"/>
      <c r="I10" s="420"/>
    </row>
    <row r="11" spans="2:23" ht="18.75" x14ac:dyDescent="0.25">
      <c r="B11" s="70" t="s">
        <v>263</v>
      </c>
      <c r="C11" s="71" t="s">
        <v>435</v>
      </c>
      <c r="D11" s="96" t="s">
        <v>473</v>
      </c>
      <c r="E11" s="96" t="s">
        <v>267</v>
      </c>
      <c r="F11" s="96" t="s">
        <v>268</v>
      </c>
      <c r="G11" s="71" t="s">
        <v>473</v>
      </c>
      <c r="H11" s="71" t="s">
        <v>267</v>
      </c>
      <c r="I11" s="72" t="s">
        <v>268</v>
      </c>
    </row>
    <row r="12" spans="2:23" x14ac:dyDescent="0.25">
      <c r="B12" s="85" t="s">
        <v>424</v>
      </c>
      <c r="C12" s="109">
        <f>3+4+1+0</f>
        <v>8</v>
      </c>
      <c r="D12" s="109">
        <f>1524+2625+1400+0</f>
        <v>5549</v>
      </c>
      <c r="E12" s="109">
        <f>98+149+87+0</f>
        <v>334</v>
      </c>
      <c r="F12" s="109">
        <f>257+403+0+0</f>
        <v>660</v>
      </c>
      <c r="G12" s="109">
        <f>+D12/C12</f>
        <v>693.625</v>
      </c>
      <c r="H12" s="109">
        <f>+E12/C12</f>
        <v>41.75</v>
      </c>
      <c r="I12" s="110">
        <f>+F12/C12</f>
        <v>82.5</v>
      </c>
    </row>
    <row r="13" spans="2:23" x14ac:dyDescent="0.25">
      <c r="B13" s="26" t="s">
        <v>324</v>
      </c>
      <c r="C13" s="100">
        <f>0+5+9+11</f>
        <v>25</v>
      </c>
      <c r="D13" s="100">
        <f>0+3274+16263+6072</f>
        <v>25609</v>
      </c>
      <c r="E13" s="100">
        <f>0+313+779+551</f>
        <v>1643</v>
      </c>
      <c r="F13" s="100">
        <f>0+585+9079+1186</f>
        <v>10850</v>
      </c>
      <c r="G13" s="100">
        <f t="shared" ref="G13:G20" si="0">+D13/C13</f>
        <v>1024.3599999999999</v>
      </c>
      <c r="H13" s="100">
        <f t="shared" ref="H13:H20" si="1">+E13/C13</f>
        <v>65.72</v>
      </c>
      <c r="I13" s="101">
        <f t="shared" ref="I13:I20" si="2">+F13/C13</f>
        <v>434</v>
      </c>
    </row>
    <row r="14" spans="2:23" x14ac:dyDescent="0.25">
      <c r="B14" s="85" t="s">
        <v>271</v>
      </c>
      <c r="C14" s="109">
        <f>26+44+33+30</f>
        <v>133</v>
      </c>
      <c r="D14" s="109">
        <f>43842+40056+17220+14684</f>
        <v>115802</v>
      </c>
      <c r="E14" s="109">
        <f>2475+2619+2065+1677</f>
        <v>8836</v>
      </c>
      <c r="F14" s="109">
        <f>3710+6522+1848+2121</f>
        <v>14201</v>
      </c>
      <c r="G14" s="109">
        <f t="shared" si="0"/>
        <v>870.69172932330832</v>
      </c>
      <c r="H14" s="109">
        <f t="shared" si="1"/>
        <v>66.436090225563916</v>
      </c>
      <c r="I14" s="110">
        <f t="shared" si="2"/>
        <v>106.77443609022556</v>
      </c>
    </row>
    <row r="15" spans="2:23" x14ac:dyDescent="0.25">
      <c r="B15" s="26" t="s">
        <v>300</v>
      </c>
      <c r="C15" s="100">
        <f>3+1+1+3</f>
        <v>8</v>
      </c>
      <c r="D15" s="100">
        <f>893+139+120+275</f>
        <v>1427</v>
      </c>
      <c r="E15" s="100">
        <f>158+22+30+87</f>
        <v>297</v>
      </c>
      <c r="F15" s="100">
        <f>300+50+23+93</f>
        <v>466</v>
      </c>
      <c r="G15" s="100">
        <f t="shared" si="0"/>
        <v>178.375</v>
      </c>
      <c r="H15" s="100">
        <f t="shared" si="1"/>
        <v>37.125</v>
      </c>
      <c r="I15" s="101">
        <f t="shared" si="2"/>
        <v>58.25</v>
      </c>
    </row>
    <row r="16" spans="2:23" x14ac:dyDescent="0.25">
      <c r="B16" s="85" t="s">
        <v>333</v>
      </c>
      <c r="C16" s="109">
        <f>0+2+1+1</f>
        <v>4</v>
      </c>
      <c r="D16" s="109">
        <f>0+526+428+204</f>
        <v>1158</v>
      </c>
      <c r="E16" s="109">
        <f>0+77+30+10</f>
        <v>117</v>
      </c>
      <c r="F16" s="109">
        <f>0+60+103+66</f>
        <v>229</v>
      </c>
      <c r="G16" s="109">
        <f t="shared" si="0"/>
        <v>289.5</v>
      </c>
      <c r="H16" s="109">
        <f t="shared" si="1"/>
        <v>29.25</v>
      </c>
      <c r="I16" s="110">
        <f t="shared" si="2"/>
        <v>57.25</v>
      </c>
    </row>
    <row r="17" spans="2:9" x14ac:dyDescent="0.25">
      <c r="B17" s="26" t="s">
        <v>327</v>
      </c>
      <c r="C17" s="100">
        <f>0+1+1+0</f>
        <v>2</v>
      </c>
      <c r="D17" s="100">
        <f>0+526+193+0</f>
        <v>719</v>
      </c>
      <c r="E17" s="100">
        <f>0+5+37+0</f>
        <v>42</v>
      </c>
      <c r="F17" s="100">
        <f>0+12+37+0</f>
        <v>49</v>
      </c>
      <c r="G17" s="100">
        <f t="shared" si="0"/>
        <v>359.5</v>
      </c>
      <c r="H17" s="100">
        <f t="shared" si="1"/>
        <v>21</v>
      </c>
      <c r="I17" s="101">
        <f t="shared" si="2"/>
        <v>24.5</v>
      </c>
    </row>
    <row r="18" spans="2:9" x14ac:dyDescent="0.25">
      <c r="B18" s="85" t="s">
        <v>426</v>
      </c>
      <c r="C18" s="109">
        <f>0+0+2+0</f>
        <v>2</v>
      </c>
      <c r="D18" s="109">
        <f>0+0+714+0</f>
        <v>714</v>
      </c>
      <c r="E18" s="109">
        <f>0+0+125+0</f>
        <v>125</v>
      </c>
      <c r="F18" s="109">
        <f>0+0+113+0</f>
        <v>113</v>
      </c>
      <c r="G18" s="109">
        <f t="shared" si="0"/>
        <v>357</v>
      </c>
      <c r="H18" s="109">
        <f t="shared" si="1"/>
        <v>62.5</v>
      </c>
      <c r="I18" s="110">
        <f t="shared" si="2"/>
        <v>56.5</v>
      </c>
    </row>
    <row r="19" spans="2:9" x14ac:dyDescent="0.25">
      <c r="B19" s="26" t="s">
        <v>290</v>
      </c>
      <c r="C19" s="100">
        <f>1+0+0+0</f>
        <v>1</v>
      </c>
      <c r="D19" s="100">
        <f>6100+0+0+0</f>
        <v>6100</v>
      </c>
      <c r="E19" s="100">
        <f>385+0+0+0</f>
        <v>385</v>
      </c>
      <c r="F19" s="100">
        <f>737+0+0+0</f>
        <v>737</v>
      </c>
      <c r="G19" s="100">
        <f t="shared" si="0"/>
        <v>6100</v>
      </c>
      <c r="H19" s="100">
        <f t="shared" si="1"/>
        <v>385</v>
      </c>
      <c r="I19" s="101">
        <f t="shared" si="2"/>
        <v>737</v>
      </c>
    </row>
    <row r="20" spans="2:9" ht="15.75" thickBot="1" x14ac:dyDescent="0.3">
      <c r="B20" s="86" t="s">
        <v>296</v>
      </c>
      <c r="C20" s="111">
        <f>28+15+11+15</f>
        <v>69</v>
      </c>
      <c r="D20" s="111">
        <f>23619+9516+7977+38793</f>
        <v>79905</v>
      </c>
      <c r="E20" s="111">
        <f>2611+891+1099+2488</f>
        <v>7089</v>
      </c>
      <c r="F20" s="111">
        <f>4878+3373+2360+15055</f>
        <v>25666</v>
      </c>
      <c r="G20" s="111">
        <f t="shared" si="0"/>
        <v>1158.0434782608695</v>
      </c>
      <c r="H20" s="111">
        <f t="shared" si="1"/>
        <v>102.73913043478261</v>
      </c>
      <c r="I20" s="112">
        <f t="shared" si="2"/>
        <v>371.97101449275362</v>
      </c>
    </row>
  </sheetData>
  <mergeCells count="5">
    <mergeCell ref="B7:I7"/>
    <mergeCell ref="B8:I8"/>
    <mergeCell ref="D10:F10"/>
    <mergeCell ref="G10:I10"/>
    <mergeCell ref="B2:W4"/>
  </mergeCells>
  <pageMargins left="0.7" right="0.7" top="0.75" bottom="0.75" header="0.3" footer="0.3"/>
  <pageSetup paperSize="9" scale="2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L18"/>
  <sheetViews>
    <sheetView showGridLines="0" zoomScale="70" zoomScaleNormal="70" zoomScaleSheetLayoutView="70" workbookViewId="0">
      <selection activeCell="P18" sqref="P18"/>
    </sheetView>
  </sheetViews>
  <sheetFormatPr defaultRowHeight="15" x14ac:dyDescent="0.25"/>
  <cols>
    <col min="4" max="4" width="15.28515625" bestFit="1" customWidth="1"/>
    <col min="5" max="5" width="34.42578125" bestFit="1" customWidth="1"/>
    <col min="6" max="6" width="20.28515625" customWidth="1"/>
    <col min="7" max="7" width="15.42578125" bestFit="1" customWidth="1"/>
    <col min="8" max="8" width="11.7109375" bestFit="1" customWidth="1"/>
    <col min="9" max="9" width="33.85546875" bestFit="1" customWidth="1"/>
  </cols>
  <sheetData>
    <row r="1" spans="2:12" ht="15.75" thickBot="1" x14ac:dyDescent="0.3"/>
    <row r="2" spans="2:12" ht="15" customHeight="1" x14ac:dyDescent="0.25">
      <c r="B2" s="698" t="s">
        <v>508</v>
      </c>
      <c r="C2" s="699"/>
      <c r="D2" s="699"/>
      <c r="E2" s="699"/>
      <c r="F2" s="699"/>
      <c r="G2" s="699"/>
      <c r="H2" s="699"/>
      <c r="I2" s="699"/>
      <c r="J2" s="699"/>
      <c r="K2" s="699"/>
      <c r="L2" s="700"/>
    </row>
    <row r="3" spans="2:12" ht="15" customHeight="1" x14ac:dyDescent="0.25">
      <c r="B3" s="701"/>
      <c r="C3" s="702"/>
      <c r="D3" s="702"/>
      <c r="E3" s="702"/>
      <c r="F3" s="702"/>
      <c r="G3" s="702"/>
      <c r="H3" s="702"/>
      <c r="I3" s="702"/>
      <c r="J3" s="702"/>
      <c r="K3" s="702"/>
      <c r="L3" s="703"/>
    </row>
    <row r="4" spans="2:12" ht="15.75" customHeight="1" thickBot="1" x14ac:dyDescent="0.3">
      <c r="B4" s="704"/>
      <c r="C4" s="705"/>
      <c r="D4" s="705"/>
      <c r="E4" s="705"/>
      <c r="F4" s="705"/>
      <c r="G4" s="705"/>
      <c r="H4" s="705"/>
      <c r="I4" s="705"/>
      <c r="J4" s="705"/>
      <c r="K4" s="705"/>
      <c r="L4" s="706"/>
    </row>
    <row r="7" spans="2:12" ht="15.75" thickBot="1" x14ac:dyDescent="0.3"/>
    <row r="8" spans="2:12" ht="18.75" x14ac:dyDescent="0.25">
      <c r="D8" s="151" t="s">
        <v>447</v>
      </c>
      <c r="E8" s="152" t="s">
        <v>448</v>
      </c>
      <c r="F8" s="152" t="s">
        <v>449</v>
      </c>
      <c r="G8" s="152" t="s">
        <v>450</v>
      </c>
      <c r="H8" s="152" t="s">
        <v>480</v>
      </c>
      <c r="I8" s="153" t="s">
        <v>481</v>
      </c>
    </row>
    <row r="9" spans="2:12" ht="30" x14ac:dyDescent="0.25">
      <c r="D9" s="142" t="s">
        <v>451</v>
      </c>
      <c r="E9" s="135" t="s">
        <v>482</v>
      </c>
      <c r="F9" s="136" t="s">
        <v>332</v>
      </c>
      <c r="G9" s="137">
        <v>28514</v>
      </c>
      <c r="H9" s="137" t="s">
        <v>332</v>
      </c>
      <c r="I9" s="143" t="s">
        <v>332</v>
      </c>
    </row>
    <row r="10" spans="2:12" x14ac:dyDescent="0.25">
      <c r="D10" s="144" t="s">
        <v>373</v>
      </c>
      <c r="E10" s="138" t="s">
        <v>332</v>
      </c>
      <c r="F10" s="139" t="s">
        <v>332</v>
      </c>
      <c r="G10" s="140" t="s">
        <v>332</v>
      </c>
      <c r="H10" s="141" t="s">
        <v>332</v>
      </c>
      <c r="I10" s="145" t="s">
        <v>332</v>
      </c>
    </row>
    <row r="11" spans="2:12" ht="30" x14ac:dyDescent="0.25">
      <c r="D11" s="142" t="s">
        <v>452</v>
      </c>
      <c r="E11" s="135" t="s">
        <v>458</v>
      </c>
      <c r="F11" s="136" t="s">
        <v>483</v>
      </c>
      <c r="G11" s="137">
        <v>4800</v>
      </c>
      <c r="H11" s="137">
        <v>903</v>
      </c>
      <c r="I11" s="143" t="s">
        <v>332</v>
      </c>
    </row>
    <row r="12" spans="2:12" ht="30" x14ac:dyDescent="0.25">
      <c r="D12" s="144" t="s">
        <v>381</v>
      </c>
      <c r="E12" s="138" t="s">
        <v>459</v>
      </c>
      <c r="F12" s="139">
        <v>1677</v>
      </c>
      <c r="G12" s="141">
        <v>36700</v>
      </c>
      <c r="H12" s="141">
        <v>998</v>
      </c>
      <c r="I12" s="145" t="s">
        <v>332</v>
      </c>
    </row>
    <row r="13" spans="2:12" ht="30" x14ac:dyDescent="0.25">
      <c r="D13" s="142" t="s">
        <v>453</v>
      </c>
      <c r="E13" s="135" t="s">
        <v>460</v>
      </c>
      <c r="F13" s="136" t="s">
        <v>332</v>
      </c>
      <c r="G13" s="137">
        <v>21446</v>
      </c>
      <c r="H13" s="137" t="s">
        <v>332</v>
      </c>
      <c r="I13" s="143" t="s">
        <v>461</v>
      </c>
    </row>
    <row r="14" spans="2:12" ht="30" x14ac:dyDescent="0.25">
      <c r="D14" s="144" t="s">
        <v>454</v>
      </c>
      <c r="E14" s="138" t="s">
        <v>484</v>
      </c>
      <c r="F14" s="139" t="s">
        <v>332</v>
      </c>
      <c r="G14" s="141">
        <v>144261</v>
      </c>
      <c r="H14" s="141" t="s">
        <v>332</v>
      </c>
      <c r="I14" s="145" t="s">
        <v>462</v>
      </c>
    </row>
    <row r="15" spans="2:12" x14ac:dyDescent="0.25">
      <c r="D15" s="142" t="s">
        <v>455</v>
      </c>
      <c r="E15" s="135" t="s">
        <v>463</v>
      </c>
      <c r="F15" s="136">
        <v>8805</v>
      </c>
      <c r="G15" s="137">
        <v>2100</v>
      </c>
      <c r="H15" s="137">
        <v>3900</v>
      </c>
      <c r="I15" s="143" t="s">
        <v>332</v>
      </c>
    </row>
    <row r="16" spans="2:12" x14ac:dyDescent="0.25">
      <c r="D16" s="144" t="s">
        <v>456</v>
      </c>
      <c r="E16" s="138" t="s">
        <v>464</v>
      </c>
      <c r="F16" s="139">
        <v>14900</v>
      </c>
      <c r="G16" s="141">
        <v>236000</v>
      </c>
      <c r="H16" s="141">
        <v>9827</v>
      </c>
      <c r="I16" s="145" t="s">
        <v>332</v>
      </c>
    </row>
    <row r="17" spans="4:9" ht="30.75" thickBot="1" x14ac:dyDescent="0.3">
      <c r="D17" s="146" t="s">
        <v>457</v>
      </c>
      <c r="E17" s="147" t="s">
        <v>465</v>
      </c>
      <c r="F17" s="148" t="s">
        <v>332</v>
      </c>
      <c r="G17" s="149">
        <v>2094618</v>
      </c>
      <c r="H17" s="149" t="s">
        <v>332</v>
      </c>
      <c r="I17" s="150" t="s">
        <v>332</v>
      </c>
    </row>
    <row r="18" spans="4:9" x14ac:dyDescent="0.25">
      <c r="E18" s="132"/>
      <c r="F18" s="133"/>
      <c r="G18" s="134"/>
      <c r="H18" s="132"/>
      <c r="I18" s="132"/>
    </row>
  </sheetData>
  <mergeCells count="1">
    <mergeCell ref="B2:L4"/>
  </mergeCells>
  <hyperlinks>
    <hyperlink ref="F9" r:id="rId1" display="Novembro\17\1"/>
    <hyperlink ref="F10" r:id="rId2" display="Novembro\18\1"/>
    <hyperlink ref="F11" r:id="rId3" display="Novembro\18\2"/>
    <hyperlink ref="F12" r:id="rId4" display="Novembro\19\2"/>
    <hyperlink ref="G11" r:id="rId5" display="https://www.facebook.com/europeanparliament/videos/vb.178362315106/10156424207590107/?type=2&amp;theater"/>
    <hyperlink ref="F13" r:id="rId6" display="Novembro\19\1"/>
    <hyperlink ref="F14" r:id="rId7" display="Novembro\20\1"/>
    <hyperlink ref="F15" r:id="rId8" display="Novembro\22\1"/>
    <hyperlink ref="F17" r:id="rId9" display="Novembro\23\1"/>
    <hyperlink ref="G14" r:id="rId10" display="https://www.facebook.com/europeanparliament/photos/a.188069385106.246713.178362315106/10156427338875107/?type=3&amp;theater"/>
  </hyperlinks>
  <pageMargins left="0.7" right="0.7" top="0.75" bottom="0.75" header="0.3" footer="0.3"/>
  <pageSetup scale="2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Y139"/>
  <sheetViews>
    <sheetView showGridLines="0" topLeftCell="A47" zoomScale="55" zoomScaleNormal="55" workbookViewId="0">
      <selection activeCell="E8" sqref="E8:E68"/>
    </sheetView>
  </sheetViews>
  <sheetFormatPr defaultRowHeight="15" x14ac:dyDescent="0.25"/>
  <cols>
    <col min="2" max="2" width="9.140625" style="36" customWidth="1"/>
    <col min="3" max="3" width="7.28515625" customWidth="1"/>
    <col min="4" max="4" width="15.85546875" bestFit="1" customWidth="1"/>
    <col min="5" max="5" width="24.28515625" style="3" bestFit="1" customWidth="1"/>
    <col min="6" max="6" width="19.7109375" bestFit="1" customWidth="1"/>
    <col min="7" max="7" width="23.5703125" bestFit="1" customWidth="1"/>
    <col min="8" max="8" width="18.85546875" bestFit="1" customWidth="1"/>
    <col min="9" max="9" width="11.42578125" bestFit="1" customWidth="1"/>
    <col min="10" max="10" width="11" customWidth="1"/>
    <col min="11" max="11" width="15.28515625" bestFit="1" customWidth="1"/>
    <col min="12" max="12" width="13.42578125" bestFit="1" customWidth="1"/>
    <col min="13" max="13" width="12.140625" customWidth="1"/>
    <col min="14" max="14" width="9.7109375" bestFit="1" customWidth="1"/>
    <col min="15" max="15" width="15.7109375" bestFit="1" customWidth="1"/>
    <col min="16" max="16" width="11.7109375" bestFit="1" customWidth="1"/>
    <col min="17" max="17" width="10.42578125" customWidth="1"/>
  </cols>
  <sheetData>
    <row r="1" spans="1:25" ht="16.5" thickBot="1" x14ac:dyDescent="0.3">
      <c r="B1" s="4"/>
      <c r="C1" s="1"/>
      <c r="D1" s="1"/>
      <c r="E1" s="2"/>
      <c r="F1" s="1"/>
    </row>
    <row r="2" spans="1:25" ht="15" customHeight="1" x14ac:dyDescent="0.9">
      <c r="A2" s="7"/>
      <c r="B2" s="383" t="s">
        <v>485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5"/>
      <c r="Q2" s="114"/>
      <c r="R2" s="114"/>
      <c r="S2" s="7"/>
    </row>
    <row r="3" spans="1:25" ht="15" customHeight="1" x14ac:dyDescent="0.9">
      <c r="A3" s="7"/>
      <c r="B3" s="386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8"/>
      <c r="Q3" s="114"/>
      <c r="R3" s="114"/>
      <c r="S3" s="7"/>
    </row>
    <row r="4" spans="1:25" ht="15.75" customHeight="1" thickBot="1" x14ac:dyDescent="0.95">
      <c r="A4" s="7"/>
      <c r="B4" s="389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1"/>
      <c r="Q4" s="114"/>
      <c r="R4" s="114"/>
    </row>
    <row r="5" spans="1:25" s="381" customFormat="1" x14ac:dyDescent="0.25"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</row>
    <row r="6" spans="1:25" ht="15.75" thickBot="1" x14ac:dyDescent="0.3">
      <c r="A6" s="37"/>
      <c r="B6" s="35"/>
      <c r="C6" s="7"/>
      <c r="D6" s="7"/>
      <c r="E6" s="34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5" x14ac:dyDescent="0.25">
      <c r="A7" s="37"/>
      <c r="B7" s="154" t="s">
        <v>0</v>
      </c>
      <c r="C7" s="155" t="s">
        <v>1</v>
      </c>
      <c r="D7" s="156" t="s">
        <v>255</v>
      </c>
      <c r="E7" s="155" t="s">
        <v>253</v>
      </c>
      <c r="F7" s="155" t="s">
        <v>260</v>
      </c>
      <c r="G7" s="155" t="s">
        <v>261</v>
      </c>
      <c r="H7" s="155" t="s">
        <v>262</v>
      </c>
      <c r="I7" s="155" t="s">
        <v>263</v>
      </c>
      <c r="J7" s="155" t="s">
        <v>264</v>
      </c>
      <c r="K7" s="155" t="s">
        <v>301</v>
      </c>
      <c r="L7" s="155" t="s">
        <v>265</v>
      </c>
      <c r="M7" s="155" t="s">
        <v>266</v>
      </c>
      <c r="N7" s="155" t="s">
        <v>473</v>
      </c>
      <c r="O7" s="155" t="s">
        <v>267</v>
      </c>
      <c r="P7" s="157" t="s">
        <v>268</v>
      </c>
    </row>
    <row r="8" spans="1:25" x14ac:dyDescent="0.25">
      <c r="A8" s="37"/>
      <c r="B8" s="158">
        <v>42309</v>
      </c>
      <c r="C8" s="18"/>
      <c r="D8" s="711" t="s">
        <v>246</v>
      </c>
      <c r="E8" s="18" t="s">
        <v>254</v>
      </c>
      <c r="F8" s="18" t="s">
        <v>280</v>
      </c>
      <c r="G8" s="18" t="s">
        <v>276</v>
      </c>
      <c r="H8" s="18" t="s">
        <v>293</v>
      </c>
      <c r="I8" s="18" t="s">
        <v>271</v>
      </c>
      <c r="J8" s="18" t="s">
        <v>366</v>
      </c>
      <c r="K8" s="18" t="s">
        <v>303</v>
      </c>
      <c r="L8" s="18" t="s">
        <v>272</v>
      </c>
      <c r="M8" s="18" t="s">
        <v>368</v>
      </c>
      <c r="N8" s="18">
        <v>305</v>
      </c>
      <c r="O8" s="18">
        <v>84</v>
      </c>
      <c r="P8" s="159">
        <v>24</v>
      </c>
    </row>
    <row r="9" spans="1:25" x14ac:dyDescent="0.25">
      <c r="A9" s="37"/>
      <c r="B9" s="158">
        <v>42310</v>
      </c>
      <c r="C9" s="41">
        <v>0.4152777777777778</v>
      </c>
      <c r="D9" s="712" t="s">
        <v>2</v>
      </c>
      <c r="E9" s="41" t="s">
        <v>256</v>
      </c>
      <c r="F9" s="41" t="s">
        <v>280</v>
      </c>
      <c r="G9" s="41" t="s">
        <v>276</v>
      </c>
      <c r="H9" s="41" t="s">
        <v>292</v>
      </c>
      <c r="I9" s="41" t="s">
        <v>271</v>
      </c>
      <c r="J9" s="41" t="s">
        <v>275</v>
      </c>
      <c r="K9" s="41" t="s">
        <v>303</v>
      </c>
      <c r="L9" s="41" t="s">
        <v>270</v>
      </c>
      <c r="M9" s="41" t="s">
        <v>371</v>
      </c>
      <c r="N9" s="42">
        <v>661</v>
      </c>
      <c r="O9" s="42">
        <v>38</v>
      </c>
      <c r="P9" s="160">
        <v>127</v>
      </c>
    </row>
    <row r="10" spans="1:25" x14ac:dyDescent="0.25">
      <c r="A10" s="37"/>
      <c r="B10" s="158">
        <v>42310</v>
      </c>
      <c r="C10" s="41">
        <v>0.56736111111111109</v>
      </c>
      <c r="D10" s="712" t="s">
        <v>3</v>
      </c>
      <c r="E10" s="41" t="s">
        <v>285</v>
      </c>
      <c r="F10" s="41" t="s">
        <v>280</v>
      </c>
      <c r="G10" s="41" t="s">
        <v>276</v>
      </c>
      <c r="H10" s="41" t="s">
        <v>292</v>
      </c>
      <c r="I10" s="41" t="s">
        <v>300</v>
      </c>
      <c r="J10" s="41" t="s">
        <v>277</v>
      </c>
      <c r="K10" s="41" t="s">
        <v>303</v>
      </c>
      <c r="L10" s="41" t="s">
        <v>270</v>
      </c>
      <c r="M10" s="41" t="s">
        <v>372</v>
      </c>
      <c r="N10" s="18">
        <v>388</v>
      </c>
      <c r="O10" s="18">
        <v>57</v>
      </c>
      <c r="P10" s="159">
        <v>93</v>
      </c>
    </row>
    <row r="11" spans="1:25" x14ac:dyDescent="0.25">
      <c r="A11" s="37"/>
      <c r="B11" s="158">
        <v>42311</v>
      </c>
      <c r="C11" s="41">
        <v>0.41666666666666669</v>
      </c>
      <c r="D11" s="712" t="s">
        <v>4</v>
      </c>
      <c r="E11" s="41" t="s">
        <v>257</v>
      </c>
      <c r="F11" s="41" t="s">
        <v>336</v>
      </c>
      <c r="G11" s="41" t="s">
        <v>276</v>
      </c>
      <c r="H11" s="41" t="s">
        <v>293</v>
      </c>
      <c r="I11" s="41" t="s">
        <v>296</v>
      </c>
      <c r="J11" s="41" t="s">
        <v>466</v>
      </c>
      <c r="K11" s="41" t="s">
        <v>369</v>
      </c>
      <c r="L11" s="41" t="s">
        <v>272</v>
      </c>
      <c r="M11" s="41" t="s">
        <v>367</v>
      </c>
      <c r="N11" s="18">
        <v>810</v>
      </c>
      <c r="O11" s="18">
        <v>179</v>
      </c>
      <c r="P11" s="159">
        <v>465</v>
      </c>
    </row>
    <row r="12" spans="1:25" x14ac:dyDescent="0.25">
      <c r="A12" s="37"/>
      <c r="B12" s="158">
        <v>42311</v>
      </c>
      <c r="C12" s="41">
        <v>0.70694444444444438</v>
      </c>
      <c r="D12" s="712" t="s">
        <v>5</v>
      </c>
      <c r="E12" s="41" t="s">
        <v>391</v>
      </c>
      <c r="F12" s="41" t="s">
        <v>280</v>
      </c>
      <c r="G12" s="41" t="s">
        <v>276</v>
      </c>
      <c r="H12" s="41" t="s">
        <v>315</v>
      </c>
      <c r="I12" s="41" t="s">
        <v>271</v>
      </c>
      <c r="J12" s="41" t="s">
        <v>277</v>
      </c>
      <c r="K12" s="41" t="s">
        <v>303</v>
      </c>
      <c r="L12" s="41" t="s">
        <v>270</v>
      </c>
      <c r="M12" s="41" t="s">
        <v>367</v>
      </c>
      <c r="N12" s="18">
        <v>338</v>
      </c>
      <c r="O12" s="18">
        <v>102</v>
      </c>
      <c r="P12" s="159">
        <v>86</v>
      </c>
    </row>
    <row r="13" spans="1:25" x14ac:dyDescent="0.25">
      <c r="A13" s="37"/>
      <c r="B13" s="158">
        <v>42312</v>
      </c>
      <c r="C13" s="41">
        <v>0.41597222222222219</v>
      </c>
      <c r="D13" s="712" t="s">
        <v>6</v>
      </c>
      <c r="E13" s="41" t="s">
        <v>285</v>
      </c>
      <c r="F13" s="41" t="s">
        <v>280</v>
      </c>
      <c r="G13" s="41" t="s">
        <v>276</v>
      </c>
      <c r="H13" s="41" t="s">
        <v>292</v>
      </c>
      <c r="I13" s="41" t="s">
        <v>296</v>
      </c>
      <c r="J13" s="41" t="s">
        <v>278</v>
      </c>
      <c r="K13" s="41" t="s">
        <v>303</v>
      </c>
      <c r="L13" s="41" t="s">
        <v>272</v>
      </c>
      <c r="M13" s="41" t="s">
        <v>442</v>
      </c>
      <c r="N13" s="18">
        <v>282</v>
      </c>
      <c r="O13" s="18">
        <v>24</v>
      </c>
      <c r="P13" s="159">
        <v>120</v>
      </c>
    </row>
    <row r="14" spans="1:25" x14ac:dyDescent="0.25">
      <c r="A14" s="37"/>
      <c r="B14" s="158">
        <v>42312</v>
      </c>
      <c r="C14" s="41">
        <v>0.875</v>
      </c>
      <c r="D14" s="712" t="s">
        <v>7</v>
      </c>
      <c r="E14" s="41" t="s">
        <v>284</v>
      </c>
      <c r="F14" s="41" t="s">
        <v>289</v>
      </c>
      <c r="G14" s="41" t="s">
        <v>276</v>
      </c>
      <c r="H14" s="41" t="s">
        <v>293</v>
      </c>
      <c r="I14" s="41" t="s">
        <v>296</v>
      </c>
      <c r="J14" s="41" t="s">
        <v>466</v>
      </c>
      <c r="K14" s="41" t="s">
        <v>303</v>
      </c>
      <c r="L14" s="41" t="s">
        <v>270</v>
      </c>
      <c r="M14" s="41" t="s">
        <v>371</v>
      </c>
      <c r="N14" s="18">
        <v>360</v>
      </c>
      <c r="O14" s="18">
        <v>101</v>
      </c>
      <c r="P14" s="159">
        <v>61</v>
      </c>
    </row>
    <row r="15" spans="1:25" x14ac:dyDescent="0.25">
      <c r="A15" s="37"/>
      <c r="B15" s="158">
        <v>42313</v>
      </c>
      <c r="C15" s="41">
        <v>0.37152777777777773</v>
      </c>
      <c r="D15" s="712" t="s">
        <v>8</v>
      </c>
      <c r="E15" s="41" t="s">
        <v>258</v>
      </c>
      <c r="F15" s="41" t="s">
        <v>280</v>
      </c>
      <c r="G15" s="41" t="s">
        <v>444</v>
      </c>
      <c r="H15" s="41" t="s">
        <v>283</v>
      </c>
      <c r="I15" s="41" t="s">
        <v>271</v>
      </c>
      <c r="J15" s="41" t="s">
        <v>290</v>
      </c>
      <c r="K15" s="41" t="s">
        <v>303</v>
      </c>
      <c r="L15" s="41" t="s">
        <v>270</v>
      </c>
      <c r="M15" s="41" t="s">
        <v>370</v>
      </c>
      <c r="N15" s="18">
        <v>110</v>
      </c>
      <c r="O15" s="18">
        <v>39</v>
      </c>
      <c r="P15" s="159">
        <v>13</v>
      </c>
    </row>
    <row r="16" spans="1:25" x14ac:dyDescent="0.25">
      <c r="A16" s="37"/>
      <c r="B16" s="158">
        <v>42313</v>
      </c>
      <c r="C16" s="41">
        <v>0.65347222222222223</v>
      </c>
      <c r="D16" s="712" t="s">
        <v>9</v>
      </c>
      <c r="E16" s="41" t="s">
        <v>254</v>
      </c>
      <c r="F16" s="41" t="s">
        <v>280</v>
      </c>
      <c r="G16" s="41" t="s">
        <v>276</v>
      </c>
      <c r="H16" s="41" t="s">
        <v>292</v>
      </c>
      <c r="I16" s="41" t="s">
        <v>296</v>
      </c>
      <c r="J16" s="41" t="s">
        <v>274</v>
      </c>
      <c r="K16" s="41" t="s">
        <v>303</v>
      </c>
      <c r="L16" s="41" t="s">
        <v>270</v>
      </c>
      <c r="M16" s="41" t="s">
        <v>371</v>
      </c>
      <c r="N16" s="18">
        <v>527</v>
      </c>
      <c r="O16" s="18">
        <v>141</v>
      </c>
      <c r="P16" s="159">
        <v>132</v>
      </c>
    </row>
    <row r="17" spans="1:16" x14ac:dyDescent="0.25">
      <c r="A17" s="37"/>
      <c r="B17" s="158">
        <v>42314</v>
      </c>
      <c r="C17" s="41">
        <v>0.66527777777777775</v>
      </c>
      <c r="D17" s="712" t="s">
        <v>11</v>
      </c>
      <c r="E17" s="116" t="s">
        <v>478</v>
      </c>
      <c r="F17" s="41" t="s">
        <v>280</v>
      </c>
      <c r="G17" s="41" t="s">
        <v>444</v>
      </c>
      <c r="H17" s="41" t="s">
        <v>283</v>
      </c>
      <c r="I17" s="41" t="s">
        <v>271</v>
      </c>
      <c r="J17" s="41" t="s">
        <v>275</v>
      </c>
      <c r="K17" s="41" t="s">
        <v>303</v>
      </c>
      <c r="L17" s="41" t="s">
        <v>272</v>
      </c>
      <c r="M17" s="41" t="s">
        <v>442</v>
      </c>
      <c r="N17" s="18">
        <v>9500</v>
      </c>
      <c r="O17" s="18">
        <v>197</v>
      </c>
      <c r="P17" s="159">
        <v>440</v>
      </c>
    </row>
    <row r="18" spans="1:16" x14ac:dyDescent="0.25">
      <c r="A18" s="37"/>
      <c r="B18" s="158">
        <v>42314</v>
      </c>
      <c r="C18" s="41">
        <v>0.37361111111111112</v>
      </c>
      <c r="D18" s="712" t="s">
        <v>10</v>
      </c>
      <c r="E18" s="41" t="s">
        <v>259</v>
      </c>
      <c r="F18" s="41" t="s">
        <v>280</v>
      </c>
      <c r="G18" s="41" t="s">
        <v>444</v>
      </c>
      <c r="H18" s="41" t="s">
        <v>283</v>
      </c>
      <c r="I18" s="41" t="s">
        <v>271</v>
      </c>
      <c r="J18" s="41" t="s">
        <v>278</v>
      </c>
      <c r="K18" s="41" t="s">
        <v>303</v>
      </c>
      <c r="L18" s="41" t="s">
        <v>270</v>
      </c>
      <c r="M18" s="41" t="s">
        <v>373</v>
      </c>
      <c r="N18" s="18">
        <v>11000</v>
      </c>
      <c r="O18" s="18">
        <v>333</v>
      </c>
      <c r="P18" s="159">
        <v>108</v>
      </c>
    </row>
    <row r="19" spans="1:16" x14ac:dyDescent="0.25">
      <c r="A19" s="37"/>
      <c r="B19" s="158">
        <v>42315</v>
      </c>
      <c r="C19" s="41">
        <v>0.37361111111111112</v>
      </c>
      <c r="D19" s="712" t="s">
        <v>12</v>
      </c>
      <c r="E19" s="41" t="s">
        <v>285</v>
      </c>
      <c r="F19" s="41" t="s">
        <v>280</v>
      </c>
      <c r="G19" s="41" t="s">
        <v>276</v>
      </c>
      <c r="H19" s="41" t="s">
        <v>292</v>
      </c>
      <c r="I19" s="41" t="s">
        <v>296</v>
      </c>
      <c r="J19" s="41" t="s">
        <v>278</v>
      </c>
      <c r="K19" s="41" t="s">
        <v>303</v>
      </c>
      <c r="L19" s="41" t="s">
        <v>270</v>
      </c>
      <c r="M19" s="41" t="s">
        <v>374</v>
      </c>
      <c r="N19" s="18">
        <v>885</v>
      </c>
      <c r="O19" s="18">
        <v>150</v>
      </c>
      <c r="P19" s="159">
        <v>53</v>
      </c>
    </row>
    <row r="20" spans="1:16" x14ac:dyDescent="0.25">
      <c r="A20" s="37"/>
      <c r="B20" s="158">
        <v>42316</v>
      </c>
      <c r="C20" s="41">
        <v>0.66875000000000007</v>
      </c>
      <c r="D20" s="712" t="s">
        <v>14</v>
      </c>
      <c r="E20" s="41" t="s">
        <v>258</v>
      </c>
      <c r="F20" s="41" t="s">
        <v>280</v>
      </c>
      <c r="G20" s="41" t="s">
        <v>444</v>
      </c>
      <c r="H20" s="41" t="s">
        <v>283</v>
      </c>
      <c r="I20" s="41" t="s">
        <v>271</v>
      </c>
      <c r="J20" s="41" t="s">
        <v>290</v>
      </c>
      <c r="K20" s="41" t="s">
        <v>303</v>
      </c>
      <c r="L20" s="41" t="s">
        <v>270</v>
      </c>
      <c r="M20" s="41" t="s">
        <v>370</v>
      </c>
      <c r="N20" s="18">
        <v>288</v>
      </c>
      <c r="O20" s="18">
        <v>29</v>
      </c>
      <c r="P20" s="159">
        <v>127</v>
      </c>
    </row>
    <row r="21" spans="1:16" x14ac:dyDescent="0.25">
      <c r="A21" s="37"/>
      <c r="B21" s="158">
        <v>42316</v>
      </c>
      <c r="C21" s="41">
        <v>0.4152777777777778</v>
      </c>
      <c r="D21" s="713" t="s">
        <v>13</v>
      </c>
      <c r="E21" s="41" t="s">
        <v>309</v>
      </c>
      <c r="F21" s="41" t="s">
        <v>280</v>
      </c>
      <c r="G21" s="41" t="s">
        <v>276</v>
      </c>
      <c r="H21" s="41" t="s">
        <v>292</v>
      </c>
      <c r="I21" s="41" t="s">
        <v>269</v>
      </c>
      <c r="J21" s="41" t="s">
        <v>279</v>
      </c>
      <c r="K21" s="41" t="s">
        <v>303</v>
      </c>
      <c r="L21" s="41" t="s">
        <v>270</v>
      </c>
      <c r="M21" s="41" t="s">
        <v>375</v>
      </c>
      <c r="N21" s="18">
        <v>1100</v>
      </c>
      <c r="O21" s="18">
        <v>108</v>
      </c>
      <c r="P21" s="159">
        <v>144</v>
      </c>
    </row>
    <row r="22" spans="1:16" x14ac:dyDescent="0.25">
      <c r="A22" s="37"/>
      <c r="B22" s="158">
        <v>42317</v>
      </c>
      <c r="C22" s="41">
        <v>0.4152777777777778</v>
      </c>
      <c r="D22" s="712" t="s">
        <v>15</v>
      </c>
      <c r="E22" s="41" t="s">
        <v>256</v>
      </c>
      <c r="F22" s="41" t="s">
        <v>280</v>
      </c>
      <c r="G22" s="41" t="s">
        <v>276</v>
      </c>
      <c r="H22" s="41" t="s">
        <v>292</v>
      </c>
      <c r="I22" s="41" t="s">
        <v>296</v>
      </c>
      <c r="J22" s="41" t="s">
        <v>466</v>
      </c>
      <c r="K22" s="41" t="s">
        <v>303</v>
      </c>
      <c r="L22" s="41" t="s">
        <v>270</v>
      </c>
      <c r="M22" s="41" t="s">
        <v>375</v>
      </c>
      <c r="N22" s="18">
        <v>537</v>
      </c>
      <c r="O22" s="18">
        <v>51</v>
      </c>
      <c r="P22" s="159">
        <v>113</v>
      </c>
    </row>
    <row r="23" spans="1:16" x14ac:dyDescent="0.25">
      <c r="A23" s="37"/>
      <c r="B23" s="158">
        <v>42317</v>
      </c>
      <c r="C23" s="41">
        <v>0.72291666666666676</v>
      </c>
      <c r="D23" s="712" t="s">
        <v>16</v>
      </c>
      <c r="E23" s="41" t="s">
        <v>282</v>
      </c>
      <c r="F23" s="41" t="s">
        <v>280</v>
      </c>
      <c r="G23" s="41" t="s">
        <v>276</v>
      </c>
      <c r="H23" s="41" t="s">
        <v>292</v>
      </c>
      <c r="I23" s="41" t="s">
        <v>296</v>
      </c>
      <c r="J23" s="41" t="s">
        <v>290</v>
      </c>
      <c r="K23" s="41" t="s">
        <v>303</v>
      </c>
      <c r="L23" s="41" t="s">
        <v>270</v>
      </c>
      <c r="M23" s="41" t="s">
        <v>443</v>
      </c>
      <c r="N23" s="18">
        <v>227</v>
      </c>
      <c r="O23" s="18">
        <v>31</v>
      </c>
      <c r="P23" s="159">
        <v>56</v>
      </c>
    </row>
    <row r="24" spans="1:16" x14ac:dyDescent="0.25">
      <c r="A24" s="37"/>
      <c r="B24" s="158">
        <v>42318</v>
      </c>
      <c r="C24" s="41">
        <v>0.59444444444444444</v>
      </c>
      <c r="D24" s="712" t="s">
        <v>18</v>
      </c>
      <c r="E24" s="41" t="s">
        <v>257</v>
      </c>
      <c r="F24" s="41" t="s">
        <v>286</v>
      </c>
      <c r="G24" s="41" t="s">
        <v>276</v>
      </c>
      <c r="H24" s="41" t="s">
        <v>362</v>
      </c>
      <c r="I24" s="41" t="s">
        <v>269</v>
      </c>
      <c r="J24" s="41" t="s">
        <v>279</v>
      </c>
      <c r="K24" s="41" t="s">
        <v>303</v>
      </c>
      <c r="L24" s="41" t="s">
        <v>270</v>
      </c>
      <c r="M24" s="41" t="s">
        <v>368</v>
      </c>
      <c r="N24" s="18">
        <v>1100</v>
      </c>
      <c r="O24" s="18">
        <v>84</v>
      </c>
      <c r="P24" s="159">
        <v>217</v>
      </c>
    </row>
    <row r="25" spans="1:16" x14ac:dyDescent="0.25">
      <c r="A25" s="37"/>
      <c r="B25" s="158">
        <v>42318</v>
      </c>
      <c r="C25" s="41">
        <v>0.4201388888888889</v>
      </c>
      <c r="D25" s="712" t="s">
        <v>17</v>
      </c>
      <c r="E25" s="41" t="s">
        <v>258</v>
      </c>
      <c r="F25" s="41" t="s">
        <v>280</v>
      </c>
      <c r="G25" s="41" t="s">
        <v>444</v>
      </c>
      <c r="H25" s="41" t="s">
        <v>283</v>
      </c>
      <c r="I25" s="41" t="s">
        <v>271</v>
      </c>
      <c r="J25" s="41" t="s">
        <v>290</v>
      </c>
      <c r="K25" s="41" t="s">
        <v>303</v>
      </c>
      <c r="L25" s="41" t="s">
        <v>270</v>
      </c>
      <c r="M25" s="41" t="s">
        <v>370</v>
      </c>
      <c r="N25" s="18">
        <v>140</v>
      </c>
      <c r="O25" s="18">
        <v>19</v>
      </c>
      <c r="P25" s="159">
        <v>18</v>
      </c>
    </row>
    <row r="26" spans="1:16" x14ac:dyDescent="0.25">
      <c r="A26" s="37"/>
      <c r="B26" s="158">
        <v>42319</v>
      </c>
      <c r="C26" s="41">
        <v>0.54375000000000007</v>
      </c>
      <c r="D26" s="712" t="s">
        <v>20</v>
      </c>
      <c r="E26" s="41" t="s">
        <v>285</v>
      </c>
      <c r="F26" s="41" t="s">
        <v>280</v>
      </c>
      <c r="G26" s="41" t="s">
        <v>276</v>
      </c>
      <c r="H26" s="41" t="s">
        <v>292</v>
      </c>
      <c r="I26" s="41" t="s">
        <v>271</v>
      </c>
      <c r="J26" s="41" t="s">
        <v>281</v>
      </c>
      <c r="K26" s="41" t="s">
        <v>303</v>
      </c>
      <c r="L26" s="41" t="s">
        <v>270</v>
      </c>
      <c r="M26" s="41" t="s">
        <v>371</v>
      </c>
      <c r="N26" s="18">
        <v>482</v>
      </c>
      <c r="O26" s="18">
        <v>55</v>
      </c>
      <c r="P26" s="159">
        <v>94</v>
      </c>
    </row>
    <row r="27" spans="1:16" x14ac:dyDescent="0.25">
      <c r="A27" s="37"/>
      <c r="B27" s="158">
        <v>42319</v>
      </c>
      <c r="C27" s="41">
        <v>0.41319444444444442</v>
      </c>
      <c r="D27" s="712" t="s">
        <v>19</v>
      </c>
      <c r="E27" s="116" t="s">
        <v>478</v>
      </c>
      <c r="F27" s="41" t="s">
        <v>280</v>
      </c>
      <c r="G27" s="41" t="s">
        <v>444</v>
      </c>
      <c r="H27" s="41" t="s">
        <v>283</v>
      </c>
      <c r="I27" s="41" t="s">
        <v>271</v>
      </c>
      <c r="J27" s="41" t="s">
        <v>275</v>
      </c>
      <c r="K27" s="41" t="s">
        <v>303</v>
      </c>
      <c r="L27" s="41" t="s">
        <v>272</v>
      </c>
      <c r="M27" s="41" t="s">
        <v>442</v>
      </c>
      <c r="N27" s="18">
        <v>7000</v>
      </c>
      <c r="O27" s="18">
        <v>108</v>
      </c>
      <c r="P27" s="159">
        <v>424</v>
      </c>
    </row>
    <row r="28" spans="1:16" x14ac:dyDescent="0.25">
      <c r="A28" s="37"/>
      <c r="B28" s="158">
        <v>42319</v>
      </c>
      <c r="C28" s="41">
        <v>0.6875</v>
      </c>
      <c r="D28" s="712" t="s">
        <v>21</v>
      </c>
      <c r="E28" s="41" t="s">
        <v>254</v>
      </c>
      <c r="F28" s="41" t="s">
        <v>280</v>
      </c>
      <c r="G28" s="41" t="s">
        <v>445</v>
      </c>
      <c r="H28" s="41" t="s">
        <v>273</v>
      </c>
      <c r="I28" s="41" t="s">
        <v>271</v>
      </c>
      <c r="J28" s="41" t="s">
        <v>274</v>
      </c>
      <c r="K28" s="41" t="s">
        <v>303</v>
      </c>
      <c r="L28" s="41" t="s">
        <v>270</v>
      </c>
      <c r="M28" s="41" t="s">
        <v>378</v>
      </c>
      <c r="N28" s="18">
        <v>807</v>
      </c>
      <c r="O28" s="18">
        <v>217</v>
      </c>
      <c r="P28" s="159">
        <v>123</v>
      </c>
    </row>
    <row r="29" spans="1:16" x14ac:dyDescent="0.25">
      <c r="A29" s="37"/>
      <c r="B29" s="158">
        <v>42320</v>
      </c>
      <c r="C29" s="41">
        <v>0.6694444444444444</v>
      </c>
      <c r="D29" s="712" t="s">
        <v>23</v>
      </c>
      <c r="E29" s="41" t="s">
        <v>258</v>
      </c>
      <c r="F29" s="41" t="s">
        <v>280</v>
      </c>
      <c r="G29" s="41" t="s">
        <v>276</v>
      </c>
      <c r="H29" s="41" t="s">
        <v>283</v>
      </c>
      <c r="I29" s="41" t="s">
        <v>271</v>
      </c>
      <c r="J29" s="41" t="s">
        <v>307</v>
      </c>
      <c r="K29" s="41" t="s">
        <v>303</v>
      </c>
      <c r="L29" s="41" t="s">
        <v>270</v>
      </c>
      <c r="M29" s="41" t="s">
        <v>442</v>
      </c>
      <c r="N29" s="18">
        <v>305</v>
      </c>
      <c r="O29" s="18">
        <v>23</v>
      </c>
      <c r="P29" s="159">
        <v>34</v>
      </c>
    </row>
    <row r="30" spans="1:16" x14ac:dyDescent="0.25">
      <c r="A30" s="37"/>
      <c r="B30" s="158">
        <v>42320</v>
      </c>
      <c r="C30" s="41">
        <v>0.74930555555555556</v>
      </c>
      <c r="D30" s="712" t="s">
        <v>24</v>
      </c>
      <c r="E30" s="41" t="s">
        <v>254</v>
      </c>
      <c r="F30" s="41" t="s">
        <v>280</v>
      </c>
      <c r="G30" s="41" t="s">
        <v>276</v>
      </c>
      <c r="H30" s="41" t="s">
        <v>315</v>
      </c>
      <c r="I30" s="41" t="s">
        <v>271</v>
      </c>
      <c r="J30" s="41" t="s">
        <v>366</v>
      </c>
      <c r="K30" s="41" t="s">
        <v>303</v>
      </c>
      <c r="L30" s="41" t="s">
        <v>270</v>
      </c>
      <c r="M30" s="41" t="s">
        <v>442</v>
      </c>
      <c r="N30" s="18">
        <v>2100</v>
      </c>
      <c r="O30" s="18">
        <v>342</v>
      </c>
      <c r="P30" s="159">
        <v>340</v>
      </c>
    </row>
    <row r="31" spans="1:16" x14ac:dyDescent="0.25">
      <c r="A31" s="37"/>
      <c r="B31" s="158">
        <v>42320</v>
      </c>
      <c r="C31" s="41">
        <v>0.42569444444444443</v>
      </c>
      <c r="D31" s="712" t="s">
        <v>22</v>
      </c>
      <c r="E31" s="41" t="s">
        <v>285</v>
      </c>
      <c r="F31" s="41" t="s">
        <v>280</v>
      </c>
      <c r="G31" s="41" t="s">
        <v>276</v>
      </c>
      <c r="H31" s="41" t="s">
        <v>293</v>
      </c>
      <c r="I31" s="41" t="s">
        <v>271</v>
      </c>
      <c r="J31" s="41" t="s">
        <v>290</v>
      </c>
      <c r="K31" s="41" t="s">
        <v>303</v>
      </c>
      <c r="L31" s="41" t="s">
        <v>270</v>
      </c>
      <c r="M31" s="41" t="s">
        <v>375</v>
      </c>
      <c r="N31" s="18">
        <v>444</v>
      </c>
      <c r="O31" s="18">
        <v>121</v>
      </c>
      <c r="P31" s="159">
        <v>80</v>
      </c>
    </row>
    <row r="32" spans="1:16" x14ac:dyDescent="0.25">
      <c r="A32" s="37"/>
      <c r="B32" s="158">
        <v>42321</v>
      </c>
      <c r="C32" s="41">
        <v>0.42083333333333334</v>
      </c>
      <c r="D32" s="712" t="s">
        <v>25</v>
      </c>
      <c r="E32" s="41" t="s">
        <v>282</v>
      </c>
      <c r="F32" s="41" t="s">
        <v>280</v>
      </c>
      <c r="G32" s="41" t="s">
        <v>276</v>
      </c>
      <c r="H32" s="41" t="s">
        <v>292</v>
      </c>
      <c r="I32" s="41" t="s">
        <v>296</v>
      </c>
      <c r="J32" s="41" t="s">
        <v>278</v>
      </c>
      <c r="K32" s="41" t="s">
        <v>303</v>
      </c>
      <c r="L32" s="41" t="s">
        <v>272</v>
      </c>
      <c r="M32" s="41" t="s">
        <v>442</v>
      </c>
      <c r="N32" s="18">
        <v>284</v>
      </c>
      <c r="O32" s="18">
        <v>47</v>
      </c>
      <c r="P32" s="159">
        <v>163</v>
      </c>
    </row>
    <row r="33" spans="1:16" x14ac:dyDescent="0.25">
      <c r="A33" s="37"/>
      <c r="B33" s="158">
        <v>42321</v>
      </c>
      <c r="C33" s="41">
        <v>0.7895833333333333</v>
      </c>
      <c r="D33" s="712" t="s">
        <v>26</v>
      </c>
      <c r="E33" s="41" t="s">
        <v>259</v>
      </c>
      <c r="F33" s="41" t="s">
        <v>280</v>
      </c>
      <c r="G33" s="41" t="s">
        <v>444</v>
      </c>
      <c r="H33" s="41" t="s">
        <v>283</v>
      </c>
      <c r="I33" s="41" t="s">
        <v>271</v>
      </c>
      <c r="J33" s="41" t="s">
        <v>437</v>
      </c>
      <c r="K33" s="41" t="s">
        <v>303</v>
      </c>
      <c r="L33" s="41" t="s">
        <v>270</v>
      </c>
      <c r="M33" s="41" t="s">
        <v>371</v>
      </c>
      <c r="N33" s="18">
        <v>1300</v>
      </c>
      <c r="O33" s="18">
        <v>114</v>
      </c>
      <c r="P33" s="159">
        <v>178</v>
      </c>
    </row>
    <row r="34" spans="1:16" x14ac:dyDescent="0.25">
      <c r="A34" s="37"/>
      <c r="B34" s="158">
        <v>42322</v>
      </c>
      <c r="C34" s="41">
        <v>0.75902777777777775</v>
      </c>
      <c r="D34" s="712" t="s">
        <v>28</v>
      </c>
      <c r="E34" s="41" t="s">
        <v>287</v>
      </c>
      <c r="F34" s="41" t="s">
        <v>288</v>
      </c>
      <c r="G34" s="41" t="s">
        <v>387</v>
      </c>
      <c r="H34" s="41" t="s">
        <v>362</v>
      </c>
      <c r="I34" s="41" t="s">
        <v>296</v>
      </c>
      <c r="J34" s="41" t="s">
        <v>274</v>
      </c>
      <c r="K34" s="41" t="s">
        <v>361</v>
      </c>
      <c r="L34" s="41" t="s">
        <v>272</v>
      </c>
      <c r="M34" s="41" t="s">
        <v>442</v>
      </c>
      <c r="N34" s="18">
        <v>895</v>
      </c>
      <c r="O34" s="18">
        <v>86</v>
      </c>
      <c r="P34" s="159">
        <v>300</v>
      </c>
    </row>
    <row r="35" spans="1:16" x14ac:dyDescent="0.25">
      <c r="A35" s="37"/>
      <c r="B35" s="158">
        <v>42322</v>
      </c>
      <c r="C35" s="41">
        <v>0.43888888888888888</v>
      </c>
      <c r="D35" s="712" t="s">
        <v>27</v>
      </c>
      <c r="E35" s="41" t="s">
        <v>287</v>
      </c>
      <c r="F35" s="41" t="s">
        <v>288</v>
      </c>
      <c r="G35" s="41" t="s">
        <v>387</v>
      </c>
      <c r="H35" s="41" t="s">
        <v>362</v>
      </c>
      <c r="I35" s="41" t="s">
        <v>290</v>
      </c>
      <c r="J35" s="41" t="s">
        <v>332</v>
      </c>
      <c r="K35" s="41" t="s">
        <v>303</v>
      </c>
      <c r="L35" s="41" t="s">
        <v>272</v>
      </c>
      <c r="M35" s="41" t="s">
        <v>442</v>
      </c>
      <c r="N35" s="18">
        <v>6100</v>
      </c>
      <c r="O35" s="18">
        <v>385</v>
      </c>
      <c r="P35" s="159">
        <v>737</v>
      </c>
    </row>
    <row r="36" spans="1:16" x14ac:dyDescent="0.25">
      <c r="A36" s="37"/>
      <c r="B36" s="158">
        <v>42323</v>
      </c>
      <c r="C36" s="41">
        <v>0.40069444444444446</v>
      </c>
      <c r="D36" s="712" t="s">
        <v>29</v>
      </c>
      <c r="E36" s="41" t="s">
        <v>287</v>
      </c>
      <c r="F36" s="41" t="s">
        <v>288</v>
      </c>
      <c r="G36" s="41" t="s">
        <v>276</v>
      </c>
      <c r="H36" s="41" t="s">
        <v>292</v>
      </c>
      <c r="I36" s="41" t="s">
        <v>296</v>
      </c>
      <c r="J36" s="41" t="s">
        <v>291</v>
      </c>
      <c r="K36" s="41" t="s">
        <v>303</v>
      </c>
      <c r="L36" s="41" t="s">
        <v>272</v>
      </c>
      <c r="M36" s="41" t="s">
        <v>442</v>
      </c>
      <c r="N36" s="18">
        <v>4100</v>
      </c>
      <c r="O36" s="18">
        <v>165</v>
      </c>
      <c r="P36" s="159">
        <v>629</v>
      </c>
    </row>
    <row r="37" spans="1:16" x14ac:dyDescent="0.25">
      <c r="A37" s="37"/>
      <c r="B37" s="158">
        <v>42324</v>
      </c>
      <c r="C37" s="41">
        <v>0.65763888888888888</v>
      </c>
      <c r="D37" s="712" t="s">
        <v>30</v>
      </c>
      <c r="E37" s="41" t="s">
        <v>256</v>
      </c>
      <c r="F37" s="41" t="s">
        <v>288</v>
      </c>
      <c r="G37" s="41" t="s">
        <v>276</v>
      </c>
      <c r="H37" s="41" t="s">
        <v>292</v>
      </c>
      <c r="I37" s="41" t="s">
        <v>269</v>
      </c>
      <c r="J37" s="41" t="s">
        <v>275</v>
      </c>
      <c r="K37" s="41" t="s">
        <v>303</v>
      </c>
      <c r="L37" s="41" t="s">
        <v>270</v>
      </c>
      <c r="M37" s="41" t="s">
        <v>371</v>
      </c>
      <c r="N37" s="18">
        <v>2300</v>
      </c>
      <c r="O37" s="18">
        <v>133</v>
      </c>
      <c r="P37" s="159">
        <v>167</v>
      </c>
    </row>
    <row r="38" spans="1:16" ht="18" customHeight="1" x14ac:dyDescent="0.25">
      <c r="A38" s="37"/>
      <c r="B38" s="161">
        <v>42325</v>
      </c>
      <c r="C38" s="43">
        <v>0.79027777777777775</v>
      </c>
      <c r="D38" s="714" t="s">
        <v>32</v>
      </c>
      <c r="E38" s="43" t="s">
        <v>287</v>
      </c>
      <c r="F38" s="43" t="s">
        <v>363</v>
      </c>
      <c r="G38" s="43" t="s">
        <v>387</v>
      </c>
      <c r="H38" s="43" t="s">
        <v>292</v>
      </c>
      <c r="I38" s="43" t="s">
        <v>296</v>
      </c>
      <c r="J38" s="43" t="s">
        <v>274</v>
      </c>
      <c r="K38" s="43" t="s">
        <v>303</v>
      </c>
      <c r="L38" s="43" t="s">
        <v>270</v>
      </c>
      <c r="M38" s="43" t="s">
        <v>371</v>
      </c>
      <c r="N38" s="44">
        <v>568</v>
      </c>
      <c r="O38" s="44">
        <v>110</v>
      </c>
      <c r="P38" s="162">
        <v>90</v>
      </c>
    </row>
    <row r="39" spans="1:16" x14ac:dyDescent="0.25">
      <c r="A39" s="37"/>
      <c r="B39" s="707">
        <v>42325</v>
      </c>
      <c r="C39" s="708">
        <v>0.65555555555555556</v>
      </c>
      <c r="D39" s="715" t="s">
        <v>31</v>
      </c>
      <c r="E39" s="708" t="s">
        <v>287</v>
      </c>
      <c r="F39" s="708" t="s">
        <v>288</v>
      </c>
      <c r="G39" s="708" t="s">
        <v>387</v>
      </c>
      <c r="H39" s="708" t="s">
        <v>362</v>
      </c>
      <c r="I39" s="708" t="s">
        <v>269</v>
      </c>
      <c r="J39" s="708" t="s">
        <v>274</v>
      </c>
      <c r="K39" s="708" t="s">
        <v>303</v>
      </c>
      <c r="L39" s="708" t="s">
        <v>270</v>
      </c>
      <c r="M39" s="708" t="s">
        <v>270</v>
      </c>
      <c r="N39" s="709">
        <v>3000</v>
      </c>
      <c r="O39" s="709">
        <v>205</v>
      </c>
      <c r="P39" s="710">
        <v>403</v>
      </c>
    </row>
    <row r="40" spans="1:16" x14ac:dyDescent="0.25">
      <c r="A40" s="37"/>
      <c r="B40" s="158">
        <v>42326</v>
      </c>
      <c r="C40" s="41">
        <v>0.47569444444444442</v>
      </c>
      <c r="D40" s="712" t="s">
        <v>33</v>
      </c>
      <c r="E40" s="41" t="s">
        <v>287</v>
      </c>
      <c r="F40" s="41" t="s">
        <v>280</v>
      </c>
      <c r="G40" s="41" t="s">
        <v>276</v>
      </c>
      <c r="H40" s="41" t="s">
        <v>293</v>
      </c>
      <c r="I40" s="41" t="s">
        <v>271</v>
      </c>
      <c r="J40" s="41" t="s">
        <v>291</v>
      </c>
      <c r="K40" s="41" t="s">
        <v>303</v>
      </c>
      <c r="L40" s="41" t="s">
        <v>270</v>
      </c>
      <c r="M40" s="41" t="s">
        <v>371</v>
      </c>
      <c r="N40" s="18">
        <v>552</v>
      </c>
      <c r="O40" s="18">
        <v>72</v>
      </c>
      <c r="P40" s="159">
        <v>69</v>
      </c>
    </row>
    <row r="41" spans="1:16" x14ac:dyDescent="0.25">
      <c r="A41" s="37"/>
      <c r="B41" s="158">
        <v>42326</v>
      </c>
      <c r="C41" s="41">
        <v>0.70972222222222225</v>
      </c>
      <c r="D41" s="712" t="s">
        <v>34</v>
      </c>
      <c r="E41" s="41" t="s">
        <v>294</v>
      </c>
      <c r="F41" s="41" t="s">
        <v>441</v>
      </c>
      <c r="G41" s="41" t="s">
        <v>276</v>
      </c>
      <c r="H41" s="41" t="s">
        <v>292</v>
      </c>
      <c r="I41" s="41" t="s">
        <v>296</v>
      </c>
      <c r="J41" s="41" t="s">
        <v>466</v>
      </c>
      <c r="K41" s="41" t="s">
        <v>303</v>
      </c>
      <c r="L41" s="41" t="s">
        <v>270</v>
      </c>
      <c r="M41" s="41" t="s">
        <v>371</v>
      </c>
      <c r="N41" s="18">
        <v>515</v>
      </c>
      <c r="O41" s="18">
        <v>93</v>
      </c>
      <c r="P41" s="159">
        <v>104</v>
      </c>
    </row>
    <row r="42" spans="1:16" x14ac:dyDescent="0.25">
      <c r="A42" s="37"/>
      <c r="B42" s="158">
        <v>42327</v>
      </c>
      <c r="C42" s="41">
        <v>0.66805555555555562</v>
      </c>
      <c r="D42" s="712" t="s">
        <v>36</v>
      </c>
      <c r="E42" s="41" t="s">
        <v>287</v>
      </c>
      <c r="F42" s="41" t="s">
        <v>288</v>
      </c>
      <c r="G42" s="41" t="s">
        <v>276</v>
      </c>
      <c r="H42" s="41" t="s">
        <v>362</v>
      </c>
      <c r="I42" s="41" t="s">
        <v>269</v>
      </c>
      <c r="J42" s="41" t="s">
        <v>290</v>
      </c>
      <c r="K42" s="41" t="s">
        <v>303</v>
      </c>
      <c r="L42" s="41" t="s">
        <v>270</v>
      </c>
      <c r="M42" s="41" t="s">
        <v>371</v>
      </c>
      <c r="N42" s="18">
        <v>314</v>
      </c>
      <c r="O42" s="18">
        <v>60</v>
      </c>
      <c r="P42" s="159">
        <v>55</v>
      </c>
    </row>
    <row r="43" spans="1:16" x14ac:dyDescent="0.25">
      <c r="A43" s="37"/>
      <c r="B43" s="158">
        <v>42327</v>
      </c>
      <c r="C43" s="41">
        <v>0.41666666666666669</v>
      </c>
      <c r="D43" s="712" t="s">
        <v>35</v>
      </c>
      <c r="E43" s="41" t="s">
        <v>254</v>
      </c>
      <c r="F43" s="41" t="s">
        <v>280</v>
      </c>
      <c r="G43" s="41" t="s">
        <v>276</v>
      </c>
      <c r="H43" s="41" t="s">
        <v>293</v>
      </c>
      <c r="I43" s="41" t="s">
        <v>296</v>
      </c>
      <c r="J43" s="41" t="s">
        <v>274</v>
      </c>
      <c r="K43" s="41" t="s">
        <v>303</v>
      </c>
      <c r="L43" s="41" t="s">
        <v>270</v>
      </c>
      <c r="M43" s="41" t="s">
        <v>375</v>
      </c>
      <c r="N43" s="18">
        <v>343</v>
      </c>
      <c r="O43" s="18">
        <v>75</v>
      </c>
      <c r="P43" s="159">
        <v>59</v>
      </c>
    </row>
    <row r="44" spans="1:16" x14ac:dyDescent="0.25">
      <c r="A44" s="37"/>
      <c r="B44" s="158">
        <v>42328</v>
      </c>
      <c r="C44" s="41">
        <v>0.42430555555555555</v>
      </c>
      <c r="D44" s="712" t="s">
        <v>37</v>
      </c>
      <c r="E44" s="41" t="s">
        <v>328</v>
      </c>
      <c r="F44" s="41" t="s">
        <v>356</v>
      </c>
      <c r="G44" s="41" t="s">
        <v>276</v>
      </c>
      <c r="H44" s="41" t="s">
        <v>292</v>
      </c>
      <c r="I44" s="41" t="s">
        <v>271</v>
      </c>
      <c r="J44" s="41" t="s">
        <v>290</v>
      </c>
      <c r="K44" s="41" t="s">
        <v>303</v>
      </c>
      <c r="L44" s="41" t="s">
        <v>270</v>
      </c>
      <c r="M44" s="41" t="s">
        <v>374</v>
      </c>
      <c r="N44" s="18">
        <v>485</v>
      </c>
      <c r="O44" s="18">
        <v>33</v>
      </c>
      <c r="P44" s="159">
        <v>193</v>
      </c>
    </row>
    <row r="45" spans="1:16" x14ac:dyDescent="0.25">
      <c r="A45" s="37"/>
      <c r="B45" s="158">
        <v>42329</v>
      </c>
      <c r="C45" s="41">
        <v>0.41666666666666669</v>
      </c>
      <c r="D45" s="712" t="s">
        <v>38</v>
      </c>
      <c r="E45" s="41" t="s">
        <v>295</v>
      </c>
      <c r="F45" s="41" t="s">
        <v>280</v>
      </c>
      <c r="G45" s="41" t="s">
        <v>276</v>
      </c>
      <c r="H45" s="41" t="s">
        <v>293</v>
      </c>
      <c r="I45" s="41" t="s">
        <v>271</v>
      </c>
      <c r="J45" s="41" t="s">
        <v>290</v>
      </c>
      <c r="K45" s="41" t="s">
        <v>303</v>
      </c>
      <c r="L45" s="41" t="s">
        <v>270</v>
      </c>
      <c r="M45" s="41" t="s">
        <v>375</v>
      </c>
      <c r="N45" s="18">
        <v>559</v>
      </c>
      <c r="O45" s="18">
        <v>63</v>
      </c>
      <c r="P45" s="159">
        <v>83</v>
      </c>
    </row>
    <row r="46" spans="1:16" x14ac:dyDescent="0.25">
      <c r="A46" s="37"/>
      <c r="B46" s="158">
        <v>42330</v>
      </c>
      <c r="C46" s="41">
        <v>0.4152777777777778</v>
      </c>
      <c r="D46" s="712" t="s">
        <v>39</v>
      </c>
      <c r="E46" s="41" t="s">
        <v>287</v>
      </c>
      <c r="F46" s="41" t="s">
        <v>280</v>
      </c>
      <c r="G46" s="41" t="s">
        <v>276</v>
      </c>
      <c r="H46" s="41" t="s">
        <v>292</v>
      </c>
      <c r="I46" s="41" t="s">
        <v>296</v>
      </c>
      <c r="J46" s="41" t="s">
        <v>466</v>
      </c>
      <c r="K46" s="41" t="s">
        <v>303</v>
      </c>
      <c r="L46" s="41" t="s">
        <v>270</v>
      </c>
      <c r="M46" s="41" t="s">
        <v>371</v>
      </c>
      <c r="N46" s="18">
        <v>443</v>
      </c>
      <c r="O46" s="18">
        <v>81</v>
      </c>
      <c r="P46" s="159">
        <v>140</v>
      </c>
    </row>
    <row r="47" spans="1:16" x14ac:dyDescent="0.25">
      <c r="A47" s="37"/>
      <c r="B47" s="158">
        <v>42331</v>
      </c>
      <c r="C47" s="41">
        <v>0.4201388888888889</v>
      </c>
      <c r="D47" s="712" t="s">
        <v>40</v>
      </c>
      <c r="E47" s="41" t="s">
        <v>256</v>
      </c>
      <c r="F47" s="41" t="s">
        <v>280</v>
      </c>
      <c r="G47" s="41" t="s">
        <v>276</v>
      </c>
      <c r="H47" s="41" t="s">
        <v>292</v>
      </c>
      <c r="I47" s="41" t="s">
        <v>296</v>
      </c>
      <c r="J47" s="41" t="s">
        <v>466</v>
      </c>
      <c r="K47" s="41" t="s">
        <v>303</v>
      </c>
      <c r="L47" s="41" t="s">
        <v>270</v>
      </c>
      <c r="M47" s="41" t="s">
        <v>371</v>
      </c>
      <c r="N47" s="18">
        <v>178</v>
      </c>
      <c r="O47" s="18">
        <v>39</v>
      </c>
      <c r="P47" s="159">
        <v>59</v>
      </c>
    </row>
    <row r="48" spans="1:16" x14ac:dyDescent="0.25">
      <c r="A48" s="37"/>
      <c r="B48" s="158">
        <v>42331</v>
      </c>
      <c r="C48" s="41">
        <v>0.70694444444444438</v>
      </c>
      <c r="D48" s="712" t="s">
        <v>41</v>
      </c>
      <c r="E48" s="41" t="s">
        <v>287</v>
      </c>
      <c r="F48" s="41" t="s">
        <v>280</v>
      </c>
      <c r="G48" s="41" t="s">
        <v>276</v>
      </c>
      <c r="H48" s="41" t="s">
        <v>292</v>
      </c>
      <c r="I48" s="41" t="s">
        <v>269</v>
      </c>
      <c r="J48" s="41" t="s">
        <v>290</v>
      </c>
      <c r="K48" s="41" t="s">
        <v>303</v>
      </c>
      <c r="L48" s="41" t="s">
        <v>270</v>
      </c>
      <c r="M48" s="41" t="s">
        <v>371</v>
      </c>
      <c r="N48" s="18">
        <v>1300</v>
      </c>
      <c r="O48" s="18">
        <v>164</v>
      </c>
      <c r="P48" s="159">
        <v>254</v>
      </c>
    </row>
    <row r="49" spans="1:16" x14ac:dyDescent="0.25">
      <c r="A49" s="37"/>
      <c r="B49" s="158">
        <v>42332</v>
      </c>
      <c r="C49" s="41">
        <v>0.45208333333333334</v>
      </c>
      <c r="D49" s="712" t="s">
        <v>43</v>
      </c>
      <c r="E49" s="41" t="s">
        <v>298</v>
      </c>
      <c r="F49" s="41" t="s">
        <v>299</v>
      </c>
      <c r="G49" s="41" t="s">
        <v>276</v>
      </c>
      <c r="H49" s="41" t="s">
        <v>293</v>
      </c>
      <c r="I49" s="41" t="s">
        <v>296</v>
      </c>
      <c r="J49" s="41" t="s">
        <v>466</v>
      </c>
      <c r="K49" s="41" t="s">
        <v>303</v>
      </c>
      <c r="L49" s="41" t="s">
        <v>272</v>
      </c>
      <c r="M49" s="41" t="s">
        <v>368</v>
      </c>
      <c r="N49" s="18">
        <v>1088</v>
      </c>
      <c r="O49" s="18">
        <v>122</v>
      </c>
      <c r="P49" s="159">
        <v>437</v>
      </c>
    </row>
    <row r="50" spans="1:16" x14ac:dyDescent="0.25">
      <c r="A50" s="37"/>
      <c r="B50" s="158">
        <v>42332</v>
      </c>
      <c r="C50" s="41">
        <v>0.38263888888888892</v>
      </c>
      <c r="D50" s="712" t="s">
        <v>42</v>
      </c>
      <c r="E50" s="41" t="s">
        <v>285</v>
      </c>
      <c r="F50" s="41" t="s">
        <v>297</v>
      </c>
      <c r="G50" s="41" t="s">
        <v>276</v>
      </c>
      <c r="H50" s="41" t="s">
        <v>292</v>
      </c>
      <c r="I50" s="41" t="s">
        <v>271</v>
      </c>
      <c r="J50" s="41" t="s">
        <v>275</v>
      </c>
      <c r="K50" s="41" t="s">
        <v>303</v>
      </c>
      <c r="L50" s="41" t="s">
        <v>270</v>
      </c>
      <c r="M50" s="41" t="s">
        <v>442</v>
      </c>
      <c r="N50" s="18">
        <v>42</v>
      </c>
      <c r="O50" s="18">
        <v>11</v>
      </c>
      <c r="P50" s="159">
        <v>15</v>
      </c>
    </row>
    <row r="51" spans="1:16" x14ac:dyDescent="0.25">
      <c r="A51" s="37"/>
      <c r="B51" s="158">
        <v>42332</v>
      </c>
      <c r="C51" s="41">
        <v>0.55694444444444446</v>
      </c>
      <c r="D51" s="712" t="s">
        <v>250</v>
      </c>
      <c r="E51" s="41" t="s">
        <v>334</v>
      </c>
      <c r="F51" s="41" t="s">
        <v>280</v>
      </c>
      <c r="G51" s="41" t="s">
        <v>446</v>
      </c>
      <c r="H51" s="41" t="s">
        <v>292</v>
      </c>
      <c r="I51" s="41" t="s">
        <v>424</v>
      </c>
      <c r="J51" s="41" t="s">
        <v>376</v>
      </c>
      <c r="K51" s="41" t="s">
        <v>303</v>
      </c>
      <c r="L51" s="41" t="s">
        <v>270</v>
      </c>
      <c r="M51" s="41" t="s">
        <v>377</v>
      </c>
      <c r="N51" s="18">
        <v>523</v>
      </c>
      <c r="O51" s="18">
        <v>28</v>
      </c>
      <c r="P51" s="159">
        <v>134</v>
      </c>
    </row>
    <row r="52" spans="1:16" x14ac:dyDescent="0.25">
      <c r="A52" s="37"/>
      <c r="B52" s="158">
        <v>42332</v>
      </c>
      <c r="C52" s="41">
        <v>0.66875000000000007</v>
      </c>
      <c r="D52" s="712" t="s">
        <v>44</v>
      </c>
      <c r="E52" s="41" t="s">
        <v>287</v>
      </c>
      <c r="F52" s="41" t="s">
        <v>280</v>
      </c>
      <c r="G52" s="41" t="s">
        <v>276</v>
      </c>
      <c r="H52" s="41" t="s">
        <v>273</v>
      </c>
      <c r="I52" s="41" t="s">
        <v>296</v>
      </c>
      <c r="J52" s="41" t="s">
        <v>376</v>
      </c>
      <c r="K52" s="41" t="s">
        <v>369</v>
      </c>
      <c r="L52" s="41" t="s">
        <v>270</v>
      </c>
      <c r="M52" s="41" t="s">
        <v>378</v>
      </c>
      <c r="N52" s="18">
        <v>272</v>
      </c>
      <c r="O52" s="18">
        <v>77</v>
      </c>
      <c r="P52" s="159">
        <v>60</v>
      </c>
    </row>
    <row r="53" spans="1:16" x14ac:dyDescent="0.25">
      <c r="A53" s="37"/>
      <c r="B53" s="158">
        <v>42333</v>
      </c>
      <c r="C53" s="41">
        <v>0.75555555555555554</v>
      </c>
      <c r="D53" s="712" t="s">
        <v>47</v>
      </c>
      <c r="E53" s="41" t="s">
        <v>328</v>
      </c>
      <c r="F53" s="41" t="s">
        <v>286</v>
      </c>
      <c r="G53" s="41" t="s">
        <v>446</v>
      </c>
      <c r="H53" s="41" t="s">
        <v>293</v>
      </c>
      <c r="I53" s="41" t="s">
        <v>271</v>
      </c>
      <c r="J53" s="41" t="s">
        <v>275</v>
      </c>
      <c r="K53" s="41" t="s">
        <v>303</v>
      </c>
      <c r="L53" s="41" t="s">
        <v>270</v>
      </c>
      <c r="M53" s="41" t="s">
        <v>374</v>
      </c>
      <c r="N53" s="18">
        <v>485</v>
      </c>
      <c r="O53" s="18">
        <v>49</v>
      </c>
      <c r="P53" s="159">
        <v>139</v>
      </c>
    </row>
    <row r="54" spans="1:16" x14ac:dyDescent="0.25">
      <c r="A54" s="37"/>
      <c r="B54" s="158">
        <v>42333</v>
      </c>
      <c r="C54" s="41">
        <v>0.5625</v>
      </c>
      <c r="D54" s="712" t="s">
        <v>46</v>
      </c>
      <c r="E54" s="41" t="s">
        <v>295</v>
      </c>
      <c r="F54" s="41" t="s">
        <v>280</v>
      </c>
      <c r="G54" s="41" t="s">
        <v>276</v>
      </c>
      <c r="H54" s="41" t="s">
        <v>293</v>
      </c>
      <c r="I54" s="41" t="s">
        <v>296</v>
      </c>
      <c r="J54" s="41" t="s">
        <v>376</v>
      </c>
      <c r="K54" s="41" t="s">
        <v>303</v>
      </c>
      <c r="L54" s="41" t="s">
        <v>270</v>
      </c>
      <c r="M54" s="41" t="s">
        <v>270</v>
      </c>
      <c r="N54" s="18">
        <v>513</v>
      </c>
      <c r="O54" s="18">
        <v>81</v>
      </c>
      <c r="P54" s="159">
        <v>157</v>
      </c>
    </row>
    <row r="55" spans="1:16" x14ac:dyDescent="0.25">
      <c r="A55" s="37"/>
      <c r="B55" s="158">
        <v>42333</v>
      </c>
      <c r="C55" s="41">
        <v>0.41875000000000001</v>
      </c>
      <c r="D55" s="712" t="s">
        <v>45</v>
      </c>
      <c r="E55" s="41" t="s">
        <v>287</v>
      </c>
      <c r="F55" s="41" t="s">
        <v>280</v>
      </c>
      <c r="G55" s="41" t="s">
        <v>276</v>
      </c>
      <c r="H55" s="41" t="s">
        <v>293</v>
      </c>
      <c r="I55" s="41" t="s">
        <v>271</v>
      </c>
      <c r="J55" s="41" t="s">
        <v>291</v>
      </c>
      <c r="K55" s="41" t="s">
        <v>303</v>
      </c>
      <c r="L55" s="41" t="s">
        <v>270</v>
      </c>
      <c r="M55" s="41" t="s">
        <v>379</v>
      </c>
      <c r="N55" s="18">
        <v>928</v>
      </c>
      <c r="O55" s="18">
        <v>113</v>
      </c>
      <c r="P55" s="159">
        <v>166</v>
      </c>
    </row>
    <row r="56" spans="1:16" x14ac:dyDescent="0.25">
      <c r="A56" s="37"/>
      <c r="B56" s="158">
        <v>42334</v>
      </c>
      <c r="C56" s="41">
        <v>0.42499999999999999</v>
      </c>
      <c r="D56" s="712" t="s">
        <v>48</v>
      </c>
      <c r="E56" s="41" t="s">
        <v>295</v>
      </c>
      <c r="F56" s="41" t="s">
        <v>280</v>
      </c>
      <c r="G56" s="41" t="s">
        <v>276</v>
      </c>
      <c r="H56" s="41" t="s">
        <v>293</v>
      </c>
      <c r="I56" s="41" t="s">
        <v>300</v>
      </c>
      <c r="J56" s="41" t="s">
        <v>277</v>
      </c>
      <c r="K56" s="41" t="s">
        <v>303</v>
      </c>
      <c r="L56" s="41" t="s">
        <v>270</v>
      </c>
      <c r="M56" s="41" t="s">
        <v>375</v>
      </c>
      <c r="N56" s="18">
        <v>340</v>
      </c>
      <c r="O56" s="18">
        <v>39</v>
      </c>
      <c r="P56" s="159">
        <v>71</v>
      </c>
    </row>
    <row r="57" spans="1:16" x14ac:dyDescent="0.25">
      <c r="A57" s="37"/>
      <c r="B57" s="158">
        <v>42334</v>
      </c>
      <c r="C57" s="41">
        <v>0.82152777777777775</v>
      </c>
      <c r="D57" s="712" t="s">
        <v>49</v>
      </c>
      <c r="E57" s="116" t="s">
        <v>478</v>
      </c>
      <c r="F57" s="41" t="s">
        <v>336</v>
      </c>
      <c r="G57" s="41" t="s">
        <v>444</v>
      </c>
      <c r="H57" s="41" t="s">
        <v>283</v>
      </c>
      <c r="I57" s="41" t="s">
        <v>271</v>
      </c>
      <c r="J57" s="41" t="s">
        <v>366</v>
      </c>
      <c r="K57" s="41" t="s">
        <v>342</v>
      </c>
      <c r="L57" s="41" t="s">
        <v>272</v>
      </c>
      <c r="M57" s="41" t="s">
        <v>442</v>
      </c>
      <c r="N57" s="18">
        <v>93</v>
      </c>
      <c r="O57" s="18">
        <v>17</v>
      </c>
      <c r="P57" s="159">
        <v>3</v>
      </c>
    </row>
    <row r="58" spans="1:16" x14ac:dyDescent="0.25">
      <c r="A58" s="37"/>
      <c r="B58" s="158">
        <v>42334</v>
      </c>
      <c r="C58" s="41">
        <v>0.56319444444444444</v>
      </c>
      <c r="D58" s="712" t="s">
        <v>251</v>
      </c>
      <c r="E58" s="41" t="s">
        <v>256</v>
      </c>
      <c r="F58" s="41" t="s">
        <v>280</v>
      </c>
      <c r="G58" s="41" t="s">
        <v>276</v>
      </c>
      <c r="H58" s="41" t="s">
        <v>292</v>
      </c>
      <c r="I58" s="41" t="s">
        <v>424</v>
      </c>
      <c r="J58" s="41" t="s">
        <v>376</v>
      </c>
      <c r="K58" s="41" t="s">
        <v>303</v>
      </c>
      <c r="L58" s="41" t="s">
        <v>270</v>
      </c>
      <c r="M58" s="41" t="s">
        <v>371</v>
      </c>
      <c r="N58" s="18">
        <v>614</v>
      </c>
      <c r="O58" s="18">
        <v>48</v>
      </c>
      <c r="P58" s="159">
        <v>71</v>
      </c>
    </row>
    <row r="59" spans="1:16" x14ac:dyDescent="0.25">
      <c r="A59" s="37"/>
      <c r="B59" s="158">
        <v>42335</v>
      </c>
      <c r="C59" s="41">
        <v>0.41041666666666665</v>
      </c>
      <c r="D59" s="712" t="s">
        <v>50</v>
      </c>
      <c r="E59" s="41" t="s">
        <v>256</v>
      </c>
      <c r="F59" s="41" t="s">
        <v>280</v>
      </c>
      <c r="G59" s="41" t="s">
        <v>276</v>
      </c>
      <c r="H59" s="41" t="s">
        <v>292</v>
      </c>
      <c r="I59" s="41" t="s">
        <v>296</v>
      </c>
      <c r="J59" s="41" t="s">
        <v>466</v>
      </c>
      <c r="K59" s="41" t="s">
        <v>303</v>
      </c>
      <c r="L59" s="41" t="s">
        <v>270</v>
      </c>
      <c r="M59" s="41" t="s">
        <v>375</v>
      </c>
      <c r="N59" s="18">
        <v>412</v>
      </c>
      <c r="O59" s="18">
        <v>31</v>
      </c>
      <c r="P59" s="159">
        <v>81</v>
      </c>
    </row>
    <row r="60" spans="1:16" x14ac:dyDescent="0.25">
      <c r="A60" s="37"/>
      <c r="B60" s="158">
        <v>42335</v>
      </c>
      <c r="C60" s="41">
        <v>0.75</v>
      </c>
      <c r="D60" s="712" t="s">
        <v>52</v>
      </c>
      <c r="E60" s="41" t="s">
        <v>328</v>
      </c>
      <c r="F60" s="41" t="s">
        <v>305</v>
      </c>
      <c r="G60" s="41" t="s">
        <v>276</v>
      </c>
      <c r="H60" s="41" t="s">
        <v>293</v>
      </c>
      <c r="I60" s="41" t="s">
        <v>300</v>
      </c>
      <c r="J60" s="41" t="s">
        <v>277</v>
      </c>
      <c r="K60" s="41" t="s">
        <v>304</v>
      </c>
      <c r="L60" s="41" t="s">
        <v>270</v>
      </c>
      <c r="M60" s="41" t="s">
        <v>375</v>
      </c>
      <c r="N60" s="18">
        <v>165</v>
      </c>
      <c r="O60" s="18">
        <v>62</v>
      </c>
      <c r="P60" s="159">
        <v>136</v>
      </c>
    </row>
    <row r="61" spans="1:16" x14ac:dyDescent="0.25">
      <c r="A61" s="37"/>
      <c r="B61" s="158">
        <v>42335</v>
      </c>
      <c r="C61" s="41">
        <v>0.54375000000000007</v>
      </c>
      <c r="D61" s="712" t="s">
        <v>51</v>
      </c>
      <c r="E61" s="41" t="s">
        <v>257</v>
      </c>
      <c r="F61" s="41" t="s">
        <v>286</v>
      </c>
      <c r="G61" s="41" t="s">
        <v>276</v>
      </c>
      <c r="H61" s="41" t="s">
        <v>292</v>
      </c>
      <c r="I61" s="41" t="s">
        <v>271</v>
      </c>
      <c r="J61" s="41" t="s">
        <v>279</v>
      </c>
      <c r="K61" s="41" t="s">
        <v>303</v>
      </c>
      <c r="L61" s="41" t="s">
        <v>270</v>
      </c>
      <c r="M61" s="41" t="s">
        <v>442</v>
      </c>
      <c r="N61" s="18">
        <v>1000</v>
      </c>
      <c r="O61" s="18">
        <v>62</v>
      </c>
      <c r="P61" s="159">
        <v>174</v>
      </c>
    </row>
    <row r="62" spans="1:16" x14ac:dyDescent="0.25">
      <c r="A62" s="37"/>
      <c r="B62" s="158">
        <v>42336</v>
      </c>
      <c r="C62" s="41">
        <v>0.7104166666666667</v>
      </c>
      <c r="D62" s="712" t="s">
        <v>54</v>
      </c>
      <c r="E62" s="41" t="s">
        <v>287</v>
      </c>
      <c r="F62" s="41" t="s">
        <v>280</v>
      </c>
      <c r="G62" s="41" t="s">
        <v>446</v>
      </c>
      <c r="H62" s="41" t="s">
        <v>283</v>
      </c>
      <c r="I62" s="41" t="s">
        <v>271</v>
      </c>
      <c r="J62" s="41" t="s">
        <v>306</v>
      </c>
      <c r="K62" s="41" t="s">
        <v>303</v>
      </c>
      <c r="L62" s="41" t="s">
        <v>270</v>
      </c>
      <c r="M62" s="41" t="s">
        <v>374</v>
      </c>
      <c r="N62" s="18">
        <v>345</v>
      </c>
      <c r="O62" s="18">
        <v>42</v>
      </c>
      <c r="P62" s="159">
        <v>68</v>
      </c>
    </row>
    <row r="63" spans="1:16" x14ac:dyDescent="0.25">
      <c r="A63" s="37"/>
      <c r="B63" s="158">
        <v>42336</v>
      </c>
      <c r="C63" s="41">
        <v>0.42291666666666666</v>
      </c>
      <c r="D63" s="712" t="s">
        <v>53</v>
      </c>
      <c r="E63" s="41" t="s">
        <v>256</v>
      </c>
      <c r="F63" s="41" t="s">
        <v>280</v>
      </c>
      <c r="G63" s="41" t="s">
        <v>276</v>
      </c>
      <c r="H63" s="41" t="s">
        <v>292</v>
      </c>
      <c r="I63" s="41" t="s">
        <v>296</v>
      </c>
      <c r="J63" s="41" t="s">
        <v>466</v>
      </c>
      <c r="K63" s="41" t="s">
        <v>303</v>
      </c>
      <c r="L63" s="41" t="s">
        <v>272</v>
      </c>
      <c r="M63" s="41" t="s">
        <v>371</v>
      </c>
      <c r="N63" s="18">
        <v>691</v>
      </c>
      <c r="O63" s="18">
        <v>70</v>
      </c>
      <c r="P63" s="159">
        <v>227</v>
      </c>
    </row>
    <row r="64" spans="1:16" x14ac:dyDescent="0.25">
      <c r="A64" s="37"/>
      <c r="B64" s="158">
        <v>42337</v>
      </c>
      <c r="C64" s="41">
        <v>0.75138888888888899</v>
      </c>
      <c r="D64" s="712" t="s">
        <v>57</v>
      </c>
      <c r="E64" s="41" t="s">
        <v>380</v>
      </c>
      <c r="F64" s="41" t="s">
        <v>280</v>
      </c>
      <c r="G64" s="41" t="s">
        <v>444</v>
      </c>
      <c r="H64" s="41" t="s">
        <v>283</v>
      </c>
      <c r="I64" s="41" t="s">
        <v>271</v>
      </c>
      <c r="J64" s="41" t="s">
        <v>307</v>
      </c>
      <c r="K64" s="41" t="s">
        <v>303</v>
      </c>
      <c r="L64" s="41" t="s">
        <v>272</v>
      </c>
      <c r="M64" s="41" t="s">
        <v>368</v>
      </c>
      <c r="N64" s="18">
        <v>4300</v>
      </c>
      <c r="O64" s="18">
        <v>163</v>
      </c>
      <c r="P64" s="159">
        <v>553</v>
      </c>
    </row>
    <row r="65" spans="1:17" x14ac:dyDescent="0.25">
      <c r="A65" s="37"/>
      <c r="B65" s="158">
        <v>42337</v>
      </c>
      <c r="C65" s="41">
        <v>0.41875000000000001</v>
      </c>
      <c r="D65" s="712" t="s">
        <v>55</v>
      </c>
      <c r="E65" s="41" t="s">
        <v>256</v>
      </c>
      <c r="F65" s="41" t="s">
        <v>280</v>
      </c>
      <c r="G65" s="41" t="s">
        <v>276</v>
      </c>
      <c r="H65" s="41" t="s">
        <v>283</v>
      </c>
      <c r="I65" s="41" t="s">
        <v>271</v>
      </c>
      <c r="J65" s="41" t="s">
        <v>307</v>
      </c>
      <c r="K65" s="41" t="s">
        <v>303</v>
      </c>
      <c r="L65" s="41" t="s">
        <v>308</v>
      </c>
      <c r="M65" s="41" t="s">
        <v>371</v>
      </c>
      <c r="N65" s="18">
        <v>273</v>
      </c>
      <c r="O65" s="18">
        <v>29</v>
      </c>
      <c r="P65" s="159">
        <v>31</v>
      </c>
    </row>
    <row r="66" spans="1:17" x14ac:dyDescent="0.25">
      <c r="A66" s="37"/>
      <c r="B66" s="158">
        <v>42337</v>
      </c>
      <c r="C66" s="41">
        <v>0.70694444444444438</v>
      </c>
      <c r="D66" s="712" t="s">
        <v>56</v>
      </c>
      <c r="E66" s="41" t="s">
        <v>309</v>
      </c>
      <c r="F66" s="41" t="s">
        <v>280</v>
      </c>
      <c r="G66" s="41" t="s">
        <v>276</v>
      </c>
      <c r="H66" s="41" t="s">
        <v>292</v>
      </c>
      <c r="I66" s="41" t="s">
        <v>296</v>
      </c>
      <c r="J66" s="41" t="s">
        <v>466</v>
      </c>
      <c r="K66" s="41" t="s">
        <v>310</v>
      </c>
      <c r="L66" s="41" t="s">
        <v>272</v>
      </c>
      <c r="M66" s="41" t="s">
        <v>373</v>
      </c>
      <c r="N66" s="18">
        <v>338</v>
      </c>
      <c r="O66" s="18">
        <v>34</v>
      </c>
      <c r="P66" s="159">
        <v>38</v>
      </c>
    </row>
    <row r="67" spans="1:17" x14ac:dyDescent="0.25">
      <c r="A67" s="37"/>
      <c r="B67" s="158">
        <v>42338</v>
      </c>
      <c r="C67" s="41">
        <v>0.42291666666666666</v>
      </c>
      <c r="D67" s="712" t="s">
        <v>58</v>
      </c>
      <c r="E67" s="41" t="s">
        <v>256</v>
      </c>
      <c r="F67" s="41" t="s">
        <v>280</v>
      </c>
      <c r="G67" s="41" t="s">
        <v>276</v>
      </c>
      <c r="H67" s="41" t="s">
        <v>292</v>
      </c>
      <c r="I67" s="41" t="s">
        <v>296</v>
      </c>
      <c r="J67" s="41" t="s">
        <v>466</v>
      </c>
      <c r="K67" s="41" t="s">
        <v>303</v>
      </c>
      <c r="L67" s="41" t="s">
        <v>270</v>
      </c>
      <c r="M67" s="41" t="s">
        <v>375</v>
      </c>
      <c r="N67" s="18">
        <v>237</v>
      </c>
      <c r="O67" s="18">
        <v>69</v>
      </c>
      <c r="P67" s="159">
        <v>94</v>
      </c>
    </row>
    <row r="68" spans="1:17" ht="15.75" thickBot="1" x14ac:dyDescent="0.3">
      <c r="A68" s="37"/>
      <c r="B68" s="163">
        <v>42338</v>
      </c>
      <c r="C68" s="164">
        <v>0.70208333333333339</v>
      </c>
      <c r="D68" s="716" t="s">
        <v>252</v>
      </c>
      <c r="E68" s="164" t="s">
        <v>258</v>
      </c>
      <c r="F68" s="164" t="s">
        <v>280</v>
      </c>
      <c r="G68" s="164" t="s">
        <v>444</v>
      </c>
      <c r="H68" s="164" t="s">
        <v>283</v>
      </c>
      <c r="I68" s="164" t="s">
        <v>424</v>
      </c>
      <c r="J68" s="164" t="s">
        <v>274</v>
      </c>
      <c r="K68" s="164" t="s">
        <v>303</v>
      </c>
      <c r="L68" s="164" t="s">
        <v>270</v>
      </c>
      <c r="M68" s="164" t="s">
        <v>270</v>
      </c>
      <c r="N68" s="165">
        <v>387</v>
      </c>
      <c r="O68" s="165">
        <v>22</v>
      </c>
      <c r="P68" s="166">
        <v>52</v>
      </c>
      <c r="Q68" s="7"/>
    </row>
    <row r="69" spans="1:17" x14ac:dyDescent="0.25">
      <c r="B69" s="35"/>
      <c r="C69" s="7"/>
      <c r="D69" s="7"/>
      <c r="E69" s="34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5" spans="1:17" x14ac:dyDescent="0.25">
      <c r="A75" s="3"/>
    </row>
    <row r="76" spans="1:17" x14ac:dyDescent="0.25">
      <c r="A76" s="3"/>
      <c r="B76" s="3"/>
      <c r="C76" s="3"/>
      <c r="D76" s="3"/>
    </row>
    <row r="77" spans="1:17" x14ac:dyDescent="0.25">
      <c r="A77" s="3"/>
      <c r="B77" s="3"/>
      <c r="C77" s="3"/>
      <c r="D77" s="3"/>
    </row>
    <row r="78" spans="1:17" x14ac:dyDescent="0.25">
      <c r="A78" s="3"/>
      <c r="B78" s="3"/>
      <c r="C78" s="3"/>
      <c r="D78" s="3"/>
    </row>
    <row r="79" spans="1:17" x14ac:dyDescent="0.25">
      <c r="A79" s="3"/>
      <c r="B79" s="3"/>
      <c r="C79" s="3"/>
      <c r="D79" s="3"/>
    </row>
    <row r="80" spans="1:17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B139" s="3"/>
      <c r="C139" s="3"/>
      <c r="D139" s="3"/>
    </row>
  </sheetData>
  <mergeCells count="2">
    <mergeCell ref="A5:XFD5"/>
    <mergeCell ref="B2:P4"/>
  </mergeCells>
  <hyperlinks>
    <hyperlink ref="D9" r:id="rId1"/>
    <hyperlink ref="D8" r:id="rId2"/>
    <hyperlink ref="D10" r:id="rId3"/>
    <hyperlink ref="D11" r:id="rId4"/>
    <hyperlink ref="D13" r:id="rId5"/>
    <hyperlink ref="D14" r:id="rId6"/>
    <hyperlink ref="D41" r:id="rId7"/>
    <hyperlink ref="D12" r:id="rId8"/>
    <hyperlink ref="D21" r:id="rId9"/>
    <hyperlink ref="D4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</hyperlinks>
  <pageMargins left="0.7" right="0.7" top="0.75" bottom="0.75" header="0.3" footer="0.3"/>
  <pageSetup paperSize="9" scale="35" orientation="portrait" r:id="rId62"/>
  <colBreaks count="1" manualBreakCount="1">
    <brk id="18" max="68" man="1"/>
  </colBreaks>
  <tableParts count="2">
    <tablePart r:id="rId63"/>
    <tablePart r:id="rId6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S223"/>
  <sheetViews>
    <sheetView showGridLines="0" view="pageBreakPreview" topLeftCell="A45" zoomScale="60" zoomScaleNormal="70" workbookViewId="0">
      <selection activeCell="E8" sqref="E8:E79"/>
    </sheetView>
  </sheetViews>
  <sheetFormatPr defaultRowHeight="15" x14ac:dyDescent="0.25"/>
  <cols>
    <col min="2" max="2" width="10" bestFit="1" customWidth="1"/>
    <col min="3" max="3" width="7.140625" bestFit="1" customWidth="1"/>
    <col min="4" max="4" width="15.85546875" style="720" bestFit="1" customWidth="1"/>
    <col min="5" max="5" width="23.5703125" style="3" bestFit="1" customWidth="1"/>
    <col min="6" max="6" width="19.7109375" bestFit="1" customWidth="1"/>
    <col min="7" max="7" width="23.5703125" bestFit="1" customWidth="1"/>
    <col min="8" max="8" width="18.7109375" bestFit="1" customWidth="1"/>
    <col min="9" max="9" width="12.42578125" bestFit="1" customWidth="1"/>
    <col min="10" max="11" width="10.28515625" customWidth="1"/>
    <col min="12" max="12" width="13.42578125" bestFit="1" customWidth="1"/>
    <col min="13" max="13" width="11.5703125" bestFit="1" customWidth="1"/>
    <col min="14" max="14" width="9.7109375" bestFit="1" customWidth="1"/>
    <col min="15" max="15" width="15.7109375" bestFit="1" customWidth="1"/>
    <col min="16" max="16" width="13.42578125" customWidth="1"/>
    <col min="17" max="17" width="10.42578125" customWidth="1"/>
  </cols>
  <sheetData>
    <row r="1" spans="1:19" s="5" customFormat="1" ht="15.75" thickBot="1" x14ac:dyDescent="0.3">
      <c r="D1" s="717"/>
      <c r="E1" s="6"/>
    </row>
    <row r="2" spans="1:19" ht="15" customHeight="1" x14ac:dyDescent="0.25">
      <c r="A2" s="7"/>
      <c r="B2" s="383" t="s">
        <v>486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5"/>
      <c r="Q2" s="392"/>
      <c r="R2" s="392"/>
      <c r="S2" s="7"/>
    </row>
    <row r="3" spans="1:19" ht="15" customHeight="1" x14ac:dyDescent="0.25">
      <c r="A3" s="7"/>
      <c r="B3" s="386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8"/>
      <c r="Q3" s="392"/>
      <c r="R3" s="392"/>
      <c r="S3" s="7"/>
    </row>
    <row r="4" spans="1:19" ht="15.75" customHeight="1" thickBot="1" x14ac:dyDescent="0.3">
      <c r="A4" s="7"/>
      <c r="B4" s="389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1"/>
      <c r="Q4" s="392"/>
      <c r="R4" s="392"/>
    </row>
    <row r="5" spans="1:19" s="5" customFormat="1" ht="15" customHeight="1" x14ac:dyDescent="0.9"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</row>
    <row r="6" spans="1:19" s="5" customFormat="1" ht="15.75" thickBot="1" x14ac:dyDescent="0.3">
      <c r="D6" s="717"/>
      <c r="E6" s="6"/>
    </row>
    <row r="7" spans="1:19" s="5" customFormat="1" x14ac:dyDescent="0.25">
      <c r="B7" s="154" t="s">
        <v>0</v>
      </c>
      <c r="C7" s="721" t="s">
        <v>1</v>
      </c>
      <c r="D7" s="722" t="s">
        <v>255</v>
      </c>
      <c r="E7" s="721" t="s">
        <v>253</v>
      </c>
      <c r="F7" s="721" t="s">
        <v>260</v>
      </c>
      <c r="G7" s="721" t="s">
        <v>261</v>
      </c>
      <c r="H7" s="721" t="s">
        <v>262</v>
      </c>
      <c r="I7" s="721" t="s">
        <v>263</v>
      </c>
      <c r="J7" s="721" t="s">
        <v>264</v>
      </c>
      <c r="K7" s="721" t="s">
        <v>301</v>
      </c>
      <c r="L7" s="721" t="s">
        <v>265</v>
      </c>
      <c r="M7" s="721" t="s">
        <v>266</v>
      </c>
      <c r="N7" s="721" t="s">
        <v>473</v>
      </c>
      <c r="O7" s="721" t="s">
        <v>267</v>
      </c>
      <c r="P7" s="723" t="s">
        <v>268</v>
      </c>
    </row>
    <row r="8" spans="1:19" s="5" customFormat="1" x14ac:dyDescent="0.25">
      <c r="B8" s="724">
        <v>42339</v>
      </c>
      <c r="C8" s="41">
        <v>0.4152777777777778</v>
      </c>
      <c r="D8" s="711" t="s">
        <v>59</v>
      </c>
      <c r="E8" s="41" t="s">
        <v>344</v>
      </c>
      <c r="F8" s="41" t="s">
        <v>286</v>
      </c>
      <c r="G8" s="41" t="s">
        <v>446</v>
      </c>
      <c r="H8" s="41" t="s">
        <v>283</v>
      </c>
      <c r="I8" s="41" t="s">
        <v>271</v>
      </c>
      <c r="J8" s="41" t="s">
        <v>306</v>
      </c>
      <c r="K8" s="41" t="s">
        <v>303</v>
      </c>
      <c r="L8" s="41" t="s">
        <v>270</v>
      </c>
      <c r="M8" s="41" t="s">
        <v>374</v>
      </c>
      <c r="N8" s="42">
        <v>170</v>
      </c>
      <c r="O8" s="42">
        <v>8</v>
      </c>
      <c r="P8" s="160">
        <v>95</v>
      </c>
    </row>
    <row r="9" spans="1:19" s="5" customFormat="1" x14ac:dyDescent="0.25">
      <c r="B9" s="724">
        <v>42339</v>
      </c>
      <c r="C9" s="41">
        <v>0.56388888888888888</v>
      </c>
      <c r="D9" s="711" t="s">
        <v>60</v>
      </c>
      <c r="E9" s="41" t="s">
        <v>321</v>
      </c>
      <c r="F9" s="41" t="s">
        <v>320</v>
      </c>
      <c r="G9" s="41" t="s">
        <v>276</v>
      </c>
      <c r="H9" s="41" t="s">
        <v>313</v>
      </c>
      <c r="I9" s="41" t="s">
        <v>271</v>
      </c>
      <c r="J9" s="41" t="s">
        <v>307</v>
      </c>
      <c r="K9" s="41" t="s">
        <v>303</v>
      </c>
      <c r="L9" s="41" t="s">
        <v>270</v>
      </c>
      <c r="M9" s="41" t="s">
        <v>371</v>
      </c>
      <c r="N9" s="18">
        <v>402</v>
      </c>
      <c r="O9" s="18">
        <v>65</v>
      </c>
      <c r="P9" s="159">
        <v>89</v>
      </c>
    </row>
    <row r="10" spans="1:19" s="5" customFormat="1" x14ac:dyDescent="0.25">
      <c r="B10" s="724">
        <v>42339</v>
      </c>
      <c r="C10" s="41">
        <v>0.7104166666666667</v>
      </c>
      <c r="D10" s="711" t="s">
        <v>61</v>
      </c>
      <c r="E10" s="41" t="s">
        <v>380</v>
      </c>
      <c r="F10" s="41" t="s">
        <v>320</v>
      </c>
      <c r="G10" s="41" t="s">
        <v>444</v>
      </c>
      <c r="H10" s="41" t="s">
        <v>283</v>
      </c>
      <c r="I10" s="41" t="s">
        <v>271</v>
      </c>
      <c r="J10" s="41" t="s">
        <v>307</v>
      </c>
      <c r="K10" s="41" t="s">
        <v>303</v>
      </c>
      <c r="L10" s="41" t="s">
        <v>272</v>
      </c>
      <c r="M10" s="41" t="s">
        <v>442</v>
      </c>
      <c r="N10" s="18">
        <v>1000</v>
      </c>
      <c r="O10" s="18">
        <v>77</v>
      </c>
      <c r="P10" s="159">
        <v>204</v>
      </c>
    </row>
    <row r="11" spans="1:19" s="5" customFormat="1" x14ac:dyDescent="0.25">
      <c r="B11" s="724">
        <v>42340</v>
      </c>
      <c r="C11" s="41">
        <v>0.4152777777777778</v>
      </c>
      <c r="D11" s="711" t="s">
        <v>62</v>
      </c>
      <c r="E11" s="41" t="s">
        <v>257</v>
      </c>
      <c r="F11" s="41" t="s">
        <v>320</v>
      </c>
      <c r="G11" s="41" t="s">
        <v>276</v>
      </c>
      <c r="H11" s="41" t="s">
        <v>313</v>
      </c>
      <c r="I11" s="41" t="s">
        <v>271</v>
      </c>
      <c r="J11" s="41" t="s">
        <v>307</v>
      </c>
      <c r="K11" s="41" t="s">
        <v>303</v>
      </c>
      <c r="L11" s="41" t="s">
        <v>270</v>
      </c>
      <c r="M11" s="41" t="s">
        <v>375</v>
      </c>
      <c r="N11" s="18">
        <v>347</v>
      </c>
      <c r="O11" s="18">
        <v>51</v>
      </c>
      <c r="P11" s="159">
        <v>50</v>
      </c>
    </row>
    <row r="12" spans="1:19" s="5" customFormat="1" x14ac:dyDescent="0.25">
      <c r="B12" s="724">
        <v>42340</v>
      </c>
      <c r="C12" s="41">
        <v>0.54305555555555551</v>
      </c>
      <c r="D12" s="711" t="s">
        <v>63</v>
      </c>
      <c r="E12" s="41" t="s">
        <v>257</v>
      </c>
      <c r="F12" s="41" t="s">
        <v>320</v>
      </c>
      <c r="G12" s="41" t="s">
        <v>276</v>
      </c>
      <c r="H12" s="41" t="s">
        <v>273</v>
      </c>
      <c r="I12" s="41" t="s">
        <v>271</v>
      </c>
      <c r="J12" s="41" t="s">
        <v>307</v>
      </c>
      <c r="K12" s="41" t="s">
        <v>303</v>
      </c>
      <c r="L12" s="41" t="s">
        <v>270</v>
      </c>
      <c r="M12" s="41" t="s">
        <v>378</v>
      </c>
      <c r="N12" s="18">
        <v>289</v>
      </c>
      <c r="O12" s="18">
        <v>43</v>
      </c>
      <c r="P12" s="159">
        <v>62</v>
      </c>
    </row>
    <row r="13" spans="1:19" s="5" customFormat="1" x14ac:dyDescent="0.25">
      <c r="B13" s="724">
        <v>42340</v>
      </c>
      <c r="C13" s="41">
        <v>0.7895833333333333</v>
      </c>
      <c r="D13" s="711" t="s">
        <v>64</v>
      </c>
      <c r="E13" s="41" t="s">
        <v>380</v>
      </c>
      <c r="F13" s="41" t="s">
        <v>320</v>
      </c>
      <c r="G13" s="41" t="s">
        <v>444</v>
      </c>
      <c r="H13" s="41" t="s">
        <v>283</v>
      </c>
      <c r="I13" s="41" t="s">
        <v>271</v>
      </c>
      <c r="J13" s="41" t="s">
        <v>307</v>
      </c>
      <c r="K13" s="41" t="s">
        <v>303</v>
      </c>
      <c r="L13" s="41" t="s">
        <v>272</v>
      </c>
      <c r="M13" s="41" t="s">
        <v>442</v>
      </c>
      <c r="N13" s="18">
        <v>2800</v>
      </c>
      <c r="O13" s="18">
        <v>116</v>
      </c>
      <c r="P13" s="159">
        <v>211</v>
      </c>
    </row>
    <row r="14" spans="1:19" s="5" customFormat="1" x14ac:dyDescent="0.25">
      <c r="B14" s="724">
        <v>42341</v>
      </c>
      <c r="C14" s="41">
        <v>0.79166666666666663</v>
      </c>
      <c r="D14" s="711" t="s">
        <v>68</v>
      </c>
      <c r="E14" s="41" t="s">
        <v>318</v>
      </c>
      <c r="F14" s="41" t="s">
        <v>319</v>
      </c>
      <c r="G14" s="41" t="s">
        <v>276</v>
      </c>
      <c r="H14" s="41" t="s">
        <v>283</v>
      </c>
      <c r="I14" s="41" t="s">
        <v>271</v>
      </c>
      <c r="J14" s="41" t="s">
        <v>376</v>
      </c>
      <c r="K14" s="41" t="s">
        <v>317</v>
      </c>
      <c r="L14" s="41" t="s">
        <v>270</v>
      </c>
      <c r="M14" s="41" t="s">
        <v>371</v>
      </c>
      <c r="N14" s="18">
        <v>91</v>
      </c>
      <c r="O14" s="18">
        <v>34</v>
      </c>
      <c r="P14" s="159">
        <v>8</v>
      </c>
    </row>
    <row r="15" spans="1:19" s="5" customFormat="1" x14ac:dyDescent="0.25">
      <c r="B15" s="724">
        <v>42341</v>
      </c>
      <c r="C15" s="41">
        <v>0.42986111111111108</v>
      </c>
      <c r="D15" s="711" t="s">
        <v>65</v>
      </c>
      <c r="E15" s="41" t="s">
        <v>328</v>
      </c>
      <c r="F15" s="41" t="s">
        <v>320</v>
      </c>
      <c r="G15" s="41" t="s">
        <v>276</v>
      </c>
      <c r="H15" s="41" t="s">
        <v>292</v>
      </c>
      <c r="I15" s="41" t="s">
        <v>271</v>
      </c>
      <c r="J15" s="41" t="s">
        <v>290</v>
      </c>
      <c r="K15" s="41" t="s">
        <v>303</v>
      </c>
      <c r="L15" s="41" t="s">
        <v>270</v>
      </c>
      <c r="M15" s="41" t="s">
        <v>374</v>
      </c>
      <c r="N15" s="18">
        <v>420</v>
      </c>
      <c r="O15" s="18">
        <v>45</v>
      </c>
      <c r="P15" s="159">
        <v>173</v>
      </c>
    </row>
    <row r="16" spans="1:19" s="5" customFormat="1" x14ac:dyDescent="0.25">
      <c r="B16" s="724">
        <v>42341</v>
      </c>
      <c r="C16" s="41">
        <v>0.64930555555555558</v>
      </c>
      <c r="D16" s="711" t="s">
        <v>67</v>
      </c>
      <c r="E16" s="41" t="s">
        <v>287</v>
      </c>
      <c r="F16" s="41" t="s">
        <v>320</v>
      </c>
      <c r="G16" s="41" t="s">
        <v>276</v>
      </c>
      <c r="H16" s="41" t="s">
        <v>292</v>
      </c>
      <c r="I16" s="41" t="s">
        <v>271</v>
      </c>
      <c r="J16" s="41" t="s">
        <v>366</v>
      </c>
      <c r="K16" s="41" t="s">
        <v>303</v>
      </c>
      <c r="L16" s="41" t="s">
        <v>270</v>
      </c>
      <c r="M16" s="41" t="s">
        <v>371</v>
      </c>
      <c r="N16" s="18">
        <v>349</v>
      </c>
      <c r="O16" s="18">
        <v>49</v>
      </c>
      <c r="P16" s="159">
        <v>40</v>
      </c>
    </row>
    <row r="17" spans="2:16" s="5" customFormat="1" x14ac:dyDescent="0.25">
      <c r="B17" s="724">
        <v>42341</v>
      </c>
      <c r="C17" s="41">
        <v>0.5625</v>
      </c>
      <c r="D17" s="711" t="s">
        <v>66</v>
      </c>
      <c r="E17" s="41" t="s">
        <v>314</v>
      </c>
      <c r="F17" s="41" t="s">
        <v>320</v>
      </c>
      <c r="G17" s="41" t="s">
        <v>387</v>
      </c>
      <c r="H17" s="41" t="s">
        <v>315</v>
      </c>
      <c r="I17" s="41" t="s">
        <v>271</v>
      </c>
      <c r="J17" s="41" t="s">
        <v>316</v>
      </c>
      <c r="K17" s="41" t="s">
        <v>303</v>
      </c>
      <c r="L17" s="41" t="s">
        <v>270</v>
      </c>
      <c r="M17" s="41" t="s">
        <v>442</v>
      </c>
      <c r="N17" s="18">
        <v>807</v>
      </c>
      <c r="O17" s="18">
        <v>83</v>
      </c>
      <c r="P17" s="159">
        <v>167</v>
      </c>
    </row>
    <row r="18" spans="2:16" s="5" customFormat="1" x14ac:dyDescent="0.25">
      <c r="B18" s="724">
        <v>42342</v>
      </c>
      <c r="C18" s="41">
        <v>0.40833333333333338</v>
      </c>
      <c r="D18" s="711" t="s">
        <v>69</v>
      </c>
      <c r="E18" s="41" t="s">
        <v>321</v>
      </c>
      <c r="F18" s="41" t="s">
        <v>320</v>
      </c>
      <c r="G18" s="41" t="s">
        <v>276</v>
      </c>
      <c r="H18" s="41" t="s">
        <v>292</v>
      </c>
      <c r="I18" s="41" t="s">
        <v>324</v>
      </c>
      <c r="J18" s="41" t="s">
        <v>278</v>
      </c>
      <c r="K18" s="41" t="s">
        <v>303</v>
      </c>
      <c r="L18" s="41" t="s">
        <v>270</v>
      </c>
      <c r="M18" s="41" t="s">
        <v>374</v>
      </c>
      <c r="N18" s="18">
        <v>856</v>
      </c>
      <c r="O18" s="18">
        <v>54</v>
      </c>
      <c r="P18" s="159">
        <v>174</v>
      </c>
    </row>
    <row r="19" spans="2:16" s="5" customFormat="1" x14ac:dyDescent="0.25">
      <c r="B19" s="724">
        <v>42342</v>
      </c>
      <c r="C19" s="41">
        <v>0.71666666666666667</v>
      </c>
      <c r="D19" s="711" t="s">
        <v>70</v>
      </c>
      <c r="E19" s="41" t="s">
        <v>254</v>
      </c>
      <c r="F19" s="41" t="s">
        <v>322</v>
      </c>
      <c r="G19" s="41" t="s">
        <v>276</v>
      </c>
      <c r="H19" s="41" t="s">
        <v>292</v>
      </c>
      <c r="I19" s="41" t="s">
        <v>271</v>
      </c>
      <c r="J19" s="41" t="s">
        <v>366</v>
      </c>
      <c r="K19" s="41" t="s">
        <v>303</v>
      </c>
      <c r="L19" s="41" t="s">
        <v>270</v>
      </c>
      <c r="M19" s="41" t="s">
        <v>371</v>
      </c>
      <c r="N19" s="18">
        <v>369</v>
      </c>
      <c r="O19" s="18">
        <v>99</v>
      </c>
      <c r="P19" s="159">
        <v>124</v>
      </c>
    </row>
    <row r="20" spans="2:16" s="5" customFormat="1" x14ac:dyDescent="0.25">
      <c r="B20" s="724">
        <v>42343</v>
      </c>
      <c r="C20" s="41">
        <v>0.79166666666666663</v>
      </c>
      <c r="D20" s="711" t="s">
        <v>72</v>
      </c>
      <c r="E20" s="41" t="s">
        <v>257</v>
      </c>
      <c r="F20" s="41" t="s">
        <v>286</v>
      </c>
      <c r="G20" s="41" t="s">
        <v>276</v>
      </c>
      <c r="H20" s="41" t="s">
        <v>292</v>
      </c>
      <c r="I20" s="41" t="s">
        <v>271</v>
      </c>
      <c r="J20" s="41" t="s">
        <v>323</v>
      </c>
      <c r="K20" s="41" t="s">
        <v>303</v>
      </c>
      <c r="L20" s="41" t="s">
        <v>270</v>
      </c>
      <c r="M20" s="41" t="s">
        <v>371</v>
      </c>
      <c r="N20" s="18">
        <v>445</v>
      </c>
      <c r="O20" s="18">
        <v>55</v>
      </c>
      <c r="P20" s="159">
        <v>63</v>
      </c>
    </row>
    <row r="21" spans="2:16" s="5" customFormat="1" x14ac:dyDescent="0.25">
      <c r="B21" s="724">
        <v>42343</v>
      </c>
      <c r="C21" s="41">
        <v>0.4152777777777778</v>
      </c>
      <c r="D21" s="711" t="s">
        <v>71</v>
      </c>
      <c r="E21" s="41" t="s">
        <v>287</v>
      </c>
      <c r="F21" s="41" t="s">
        <v>320</v>
      </c>
      <c r="G21" s="41" t="s">
        <v>387</v>
      </c>
      <c r="H21" s="41" t="s">
        <v>313</v>
      </c>
      <c r="I21" s="41" t="s">
        <v>296</v>
      </c>
      <c r="J21" s="41" t="s">
        <v>466</v>
      </c>
      <c r="K21" s="41" t="s">
        <v>303</v>
      </c>
      <c r="L21" s="41" t="s">
        <v>272</v>
      </c>
      <c r="M21" s="41" t="s">
        <v>368</v>
      </c>
      <c r="N21" s="18">
        <v>579</v>
      </c>
      <c r="O21" s="18">
        <v>113</v>
      </c>
      <c r="P21" s="159">
        <v>188</v>
      </c>
    </row>
    <row r="22" spans="2:16" s="5" customFormat="1" x14ac:dyDescent="0.25">
      <c r="B22" s="724">
        <v>42344</v>
      </c>
      <c r="C22" s="41">
        <v>0.75</v>
      </c>
      <c r="D22" s="711" t="s">
        <v>73</v>
      </c>
      <c r="E22" s="41" t="s">
        <v>256</v>
      </c>
      <c r="F22" s="41" t="s">
        <v>320</v>
      </c>
      <c r="G22" s="41" t="s">
        <v>444</v>
      </c>
      <c r="H22" s="41" t="s">
        <v>283</v>
      </c>
      <c r="I22" s="41" t="s">
        <v>271</v>
      </c>
      <c r="J22" s="41" t="s">
        <v>275</v>
      </c>
      <c r="K22" s="41" t="s">
        <v>303</v>
      </c>
      <c r="L22" s="41" t="s">
        <v>272</v>
      </c>
      <c r="M22" s="41" t="s">
        <v>442</v>
      </c>
      <c r="N22" s="18">
        <v>691</v>
      </c>
      <c r="O22" s="18">
        <v>52</v>
      </c>
      <c r="P22" s="159">
        <v>41</v>
      </c>
    </row>
    <row r="23" spans="2:16" s="5" customFormat="1" x14ac:dyDescent="0.25">
      <c r="B23" s="724">
        <v>42345</v>
      </c>
      <c r="C23" s="41">
        <v>0.4152777777777778</v>
      </c>
      <c r="D23" s="711" t="s">
        <v>74</v>
      </c>
      <c r="E23" s="41" t="s">
        <v>257</v>
      </c>
      <c r="F23" s="41" t="s">
        <v>286</v>
      </c>
      <c r="G23" s="41" t="s">
        <v>276</v>
      </c>
      <c r="H23" s="41" t="s">
        <v>292</v>
      </c>
      <c r="I23" s="41" t="s">
        <v>271</v>
      </c>
      <c r="J23" s="41" t="s">
        <v>275</v>
      </c>
      <c r="K23" s="41" t="s">
        <v>303</v>
      </c>
      <c r="L23" s="41" t="s">
        <v>270</v>
      </c>
      <c r="M23" s="41" t="s">
        <v>375</v>
      </c>
      <c r="N23" s="18">
        <v>928</v>
      </c>
      <c r="O23" s="18">
        <v>55</v>
      </c>
      <c r="P23" s="159">
        <v>88</v>
      </c>
    </row>
    <row r="24" spans="2:16" s="5" customFormat="1" x14ac:dyDescent="0.25">
      <c r="B24" s="724">
        <v>42345</v>
      </c>
      <c r="C24" s="41">
        <v>0.70624999999999993</v>
      </c>
      <c r="D24" s="711" t="s">
        <v>75</v>
      </c>
      <c r="E24" s="41" t="s">
        <v>312</v>
      </c>
      <c r="F24" s="41" t="s">
        <v>320</v>
      </c>
      <c r="G24" s="41" t="s">
        <v>276</v>
      </c>
      <c r="H24" s="41" t="s">
        <v>292</v>
      </c>
      <c r="I24" s="41" t="s">
        <v>324</v>
      </c>
      <c r="J24" s="41" t="s">
        <v>307</v>
      </c>
      <c r="K24" s="41" t="s">
        <v>303</v>
      </c>
      <c r="L24" s="41" t="s">
        <v>270</v>
      </c>
      <c r="M24" s="41" t="s">
        <v>371</v>
      </c>
      <c r="N24" s="18">
        <v>981</v>
      </c>
      <c r="O24" s="18">
        <v>67</v>
      </c>
      <c r="P24" s="159">
        <v>130</v>
      </c>
    </row>
    <row r="25" spans="2:16" s="5" customFormat="1" x14ac:dyDescent="0.25">
      <c r="B25" s="724">
        <v>42346</v>
      </c>
      <c r="C25" s="41">
        <v>0.4152777777777778</v>
      </c>
      <c r="D25" s="711" t="s">
        <v>76</v>
      </c>
      <c r="E25" s="41" t="s">
        <v>257</v>
      </c>
      <c r="F25" s="41" t="s">
        <v>320</v>
      </c>
      <c r="G25" s="41" t="s">
        <v>276</v>
      </c>
      <c r="H25" s="41" t="s">
        <v>292</v>
      </c>
      <c r="I25" s="41" t="s">
        <v>296</v>
      </c>
      <c r="J25" s="41" t="s">
        <v>466</v>
      </c>
      <c r="K25" s="41" t="s">
        <v>303</v>
      </c>
      <c r="L25" s="41" t="s">
        <v>270</v>
      </c>
      <c r="M25" s="41" t="s">
        <v>375</v>
      </c>
      <c r="N25" s="18">
        <v>227</v>
      </c>
      <c r="O25" s="18">
        <v>36</v>
      </c>
      <c r="P25" s="159">
        <v>82</v>
      </c>
    </row>
    <row r="26" spans="2:16" s="5" customFormat="1" x14ac:dyDescent="0.25">
      <c r="B26" s="724">
        <v>42346</v>
      </c>
      <c r="C26" s="41">
        <v>0.70624999999999993</v>
      </c>
      <c r="D26" s="711" t="s">
        <v>77</v>
      </c>
      <c r="E26" s="41" t="s">
        <v>364</v>
      </c>
      <c r="F26" s="41" t="s">
        <v>320</v>
      </c>
      <c r="G26" s="41" t="s">
        <v>276</v>
      </c>
      <c r="H26" s="41" t="s">
        <v>313</v>
      </c>
      <c r="I26" s="41" t="s">
        <v>296</v>
      </c>
      <c r="J26" s="41" t="s">
        <v>466</v>
      </c>
      <c r="K26" s="41" t="s">
        <v>303</v>
      </c>
      <c r="L26" s="41" t="s">
        <v>270</v>
      </c>
      <c r="M26" s="41" t="s">
        <v>375</v>
      </c>
      <c r="N26" s="18">
        <v>632</v>
      </c>
      <c r="O26" s="18">
        <v>96</v>
      </c>
      <c r="P26" s="159">
        <v>221</v>
      </c>
    </row>
    <row r="27" spans="2:16" s="5" customFormat="1" x14ac:dyDescent="0.25">
      <c r="B27" s="724">
        <v>42347</v>
      </c>
      <c r="C27" s="41">
        <v>0.68958333333333333</v>
      </c>
      <c r="D27" s="711" t="s">
        <v>80</v>
      </c>
      <c r="E27" s="41" t="s">
        <v>337</v>
      </c>
      <c r="F27" s="41" t="s">
        <v>326</v>
      </c>
      <c r="G27" s="41" t="s">
        <v>276</v>
      </c>
      <c r="H27" s="41" t="s">
        <v>292</v>
      </c>
      <c r="I27" s="41" t="s">
        <v>327</v>
      </c>
      <c r="J27" s="41" t="s">
        <v>376</v>
      </c>
      <c r="K27" s="41" t="s">
        <v>303</v>
      </c>
      <c r="L27" s="41" t="s">
        <v>270</v>
      </c>
      <c r="M27" s="41" t="s">
        <v>443</v>
      </c>
      <c r="N27" s="18">
        <v>34</v>
      </c>
      <c r="O27" s="18">
        <v>5</v>
      </c>
      <c r="P27" s="159">
        <v>12</v>
      </c>
    </row>
    <row r="28" spans="2:16" s="5" customFormat="1" x14ac:dyDescent="0.25">
      <c r="B28" s="724">
        <v>42347</v>
      </c>
      <c r="C28" s="41">
        <v>0.41805555555555557</v>
      </c>
      <c r="D28" s="711" t="s">
        <v>78</v>
      </c>
      <c r="E28" s="41" t="s">
        <v>321</v>
      </c>
      <c r="F28" s="41" t="s">
        <v>320</v>
      </c>
      <c r="G28" s="41" t="s">
        <v>276</v>
      </c>
      <c r="H28" s="41" t="s">
        <v>292</v>
      </c>
      <c r="I28" s="41" t="s">
        <v>424</v>
      </c>
      <c r="J28" s="41" t="s">
        <v>300</v>
      </c>
      <c r="K28" s="41" t="s">
        <v>303</v>
      </c>
      <c r="L28" s="41" t="s">
        <v>270</v>
      </c>
      <c r="M28" s="41" t="s">
        <v>375</v>
      </c>
      <c r="N28" s="18">
        <v>224</v>
      </c>
      <c r="O28" s="18">
        <v>21</v>
      </c>
      <c r="P28" s="159">
        <v>107</v>
      </c>
    </row>
    <row r="29" spans="2:16" s="5" customFormat="1" x14ac:dyDescent="0.25">
      <c r="B29" s="724">
        <v>42347</v>
      </c>
      <c r="C29" s="41">
        <v>0.81319444444444444</v>
      </c>
      <c r="D29" s="711" t="s">
        <v>82</v>
      </c>
      <c r="E29" s="41" t="s">
        <v>257</v>
      </c>
      <c r="F29" s="41" t="s">
        <v>320</v>
      </c>
      <c r="G29" s="41" t="s">
        <v>445</v>
      </c>
      <c r="H29" s="41" t="s">
        <v>292</v>
      </c>
      <c r="I29" s="41" t="s">
        <v>296</v>
      </c>
      <c r="J29" s="41" t="s">
        <v>466</v>
      </c>
      <c r="K29" s="41" t="s">
        <v>303</v>
      </c>
      <c r="L29" s="41" t="s">
        <v>270</v>
      </c>
      <c r="M29" s="41" t="s">
        <v>442</v>
      </c>
      <c r="N29" s="18">
        <v>41</v>
      </c>
      <c r="O29" s="18">
        <v>15</v>
      </c>
      <c r="P29" s="159">
        <v>7</v>
      </c>
    </row>
    <row r="30" spans="2:16" s="5" customFormat="1" x14ac:dyDescent="0.25">
      <c r="B30" s="724">
        <v>42347</v>
      </c>
      <c r="C30" s="41">
        <v>0.7055555555555556</v>
      </c>
      <c r="D30" s="711" t="s">
        <v>81</v>
      </c>
      <c r="E30" s="41" t="s">
        <v>380</v>
      </c>
      <c r="F30" s="41" t="s">
        <v>320</v>
      </c>
      <c r="G30" s="41" t="s">
        <v>444</v>
      </c>
      <c r="H30" s="41" t="s">
        <v>283</v>
      </c>
      <c r="I30" s="41" t="s">
        <v>271</v>
      </c>
      <c r="J30" s="41" t="s">
        <v>278</v>
      </c>
      <c r="K30" s="41" t="s">
        <v>303</v>
      </c>
      <c r="L30" s="41" t="s">
        <v>270</v>
      </c>
      <c r="M30" s="41" t="s">
        <v>375</v>
      </c>
      <c r="N30" s="18">
        <v>592</v>
      </c>
      <c r="O30" s="18">
        <v>36</v>
      </c>
      <c r="P30" s="159">
        <v>106</v>
      </c>
    </row>
    <row r="31" spans="2:16" s="5" customFormat="1" x14ac:dyDescent="0.25">
      <c r="B31" s="724">
        <v>42347</v>
      </c>
      <c r="C31" s="41">
        <v>0.56319444444444444</v>
      </c>
      <c r="D31" s="711" t="s">
        <v>79</v>
      </c>
      <c r="E31" s="41" t="s">
        <v>256</v>
      </c>
      <c r="F31" s="41" t="s">
        <v>320</v>
      </c>
      <c r="G31" s="41" t="s">
        <v>276</v>
      </c>
      <c r="H31" s="41" t="s">
        <v>292</v>
      </c>
      <c r="I31" s="41" t="s">
        <v>324</v>
      </c>
      <c r="J31" s="41" t="s">
        <v>376</v>
      </c>
      <c r="K31" s="41" t="s">
        <v>303</v>
      </c>
      <c r="L31" s="41" t="s">
        <v>270</v>
      </c>
      <c r="M31" s="41" t="s">
        <v>371</v>
      </c>
      <c r="N31" s="18">
        <v>428</v>
      </c>
      <c r="O31" s="18">
        <v>35</v>
      </c>
      <c r="P31" s="159">
        <v>60</v>
      </c>
    </row>
    <row r="32" spans="2:16" s="5" customFormat="1" x14ac:dyDescent="0.25">
      <c r="B32" s="724">
        <v>42348</v>
      </c>
      <c r="C32" s="41">
        <v>0.58194444444444449</v>
      </c>
      <c r="D32" s="711" t="s">
        <v>84</v>
      </c>
      <c r="E32" s="41" t="s">
        <v>257</v>
      </c>
      <c r="F32" s="41" t="s">
        <v>329</v>
      </c>
      <c r="G32" s="41" t="s">
        <v>445</v>
      </c>
      <c r="H32" s="41" t="s">
        <v>273</v>
      </c>
      <c r="I32" s="41" t="s">
        <v>424</v>
      </c>
      <c r="J32" s="41" t="s">
        <v>307</v>
      </c>
      <c r="K32" s="41" t="s">
        <v>303</v>
      </c>
      <c r="L32" s="41" t="s">
        <v>270</v>
      </c>
      <c r="M32" s="41" t="s">
        <v>378</v>
      </c>
      <c r="N32" s="18">
        <v>116</v>
      </c>
      <c r="O32" s="18">
        <v>13</v>
      </c>
      <c r="P32" s="159">
        <v>12</v>
      </c>
    </row>
    <row r="33" spans="2:16" s="5" customFormat="1" x14ac:dyDescent="0.25">
      <c r="B33" s="724">
        <v>42348</v>
      </c>
      <c r="C33" s="41">
        <v>0.42499999999999999</v>
      </c>
      <c r="D33" s="711" t="s">
        <v>83</v>
      </c>
      <c r="E33" s="41" t="s">
        <v>328</v>
      </c>
      <c r="F33" s="41" t="s">
        <v>286</v>
      </c>
      <c r="G33" s="41" t="s">
        <v>276</v>
      </c>
      <c r="H33" s="41" t="s">
        <v>292</v>
      </c>
      <c r="I33" s="41" t="s">
        <v>271</v>
      </c>
      <c r="J33" s="41" t="s">
        <v>366</v>
      </c>
      <c r="K33" s="41" t="s">
        <v>303</v>
      </c>
      <c r="L33" s="41" t="s">
        <v>270</v>
      </c>
      <c r="M33" s="41" t="s">
        <v>371</v>
      </c>
      <c r="N33" s="18">
        <v>3200</v>
      </c>
      <c r="O33" s="18">
        <v>92</v>
      </c>
      <c r="P33" s="159">
        <v>1917</v>
      </c>
    </row>
    <row r="34" spans="2:16" s="5" customFormat="1" x14ac:dyDescent="0.25">
      <c r="B34" s="724">
        <v>42349</v>
      </c>
      <c r="C34" s="41">
        <v>0.70416666666666661</v>
      </c>
      <c r="D34" s="711" t="s">
        <v>87</v>
      </c>
      <c r="E34" s="41" t="s">
        <v>295</v>
      </c>
      <c r="F34" s="41" t="s">
        <v>320</v>
      </c>
      <c r="G34" s="41" t="s">
        <v>276</v>
      </c>
      <c r="H34" s="41" t="s">
        <v>292</v>
      </c>
      <c r="I34" s="41" t="s">
        <v>271</v>
      </c>
      <c r="J34" s="41" t="s">
        <v>437</v>
      </c>
      <c r="K34" s="41" t="s">
        <v>303</v>
      </c>
      <c r="L34" s="41" t="s">
        <v>270</v>
      </c>
      <c r="M34" s="41" t="s">
        <v>375</v>
      </c>
      <c r="N34" s="18">
        <v>875</v>
      </c>
      <c r="O34" s="18">
        <v>28</v>
      </c>
      <c r="P34" s="159">
        <v>127</v>
      </c>
    </row>
    <row r="35" spans="2:16" s="5" customFormat="1" x14ac:dyDescent="0.25">
      <c r="B35" s="724">
        <v>42349</v>
      </c>
      <c r="C35" s="41">
        <v>0.54166666666666663</v>
      </c>
      <c r="D35" s="711" t="s">
        <v>86</v>
      </c>
      <c r="E35" s="41" t="s">
        <v>359</v>
      </c>
      <c r="F35" s="41" t="s">
        <v>320</v>
      </c>
      <c r="G35" s="41" t="s">
        <v>276</v>
      </c>
      <c r="H35" s="41" t="s">
        <v>292</v>
      </c>
      <c r="I35" s="41" t="s">
        <v>325</v>
      </c>
      <c r="J35" s="41" t="s">
        <v>277</v>
      </c>
      <c r="K35" s="41" t="s">
        <v>303</v>
      </c>
      <c r="L35" s="41" t="s">
        <v>270</v>
      </c>
      <c r="M35" s="41" t="s">
        <v>371</v>
      </c>
      <c r="N35" s="18">
        <v>139</v>
      </c>
      <c r="O35" s="18">
        <v>22</v>
      </c>
      <c r="P35" s="159">
        <v>50</v>
      </c>
    </row>
    <row r="36" spans="2:16" s="5" customFormat="1" x14ac:dyDescent="0.25">
      <c r="B36" s="724">
        <v>42349</v>
      </c>
      <c r="C36" s="41">
        <v>0.4055555555555555</v>
      </c>
      <c r="D36" s="711" t="s">
        <v>85</v>
      </c>
      <c r="E36" s="41" t="s">
        <v>257</v>
      </c>
      <c r="F36" s="41" t="s">
        <v>329</v>
      </c>
      <c r="G36" s="41" t="s">
        <v>276</v>
      </c>
      <c r="H36" s="41" t="s">
        <v>292</v>
      </c>
      <c r="I36" s="41" t="s">
        <v>271</v>
      </c>
      <c r="J36" s="41" t="s">
        <v>437</v>
      </c>
      <c r="K36" s="41" t="s">
        <v>303</v>
      </c>
      <c r="L36" s="41" t="s">
        <v>270</v>
      </c>
      <c r="M36" s="41" t="s">
        <v>371</v>
      </c>
      <c r="N36" s="18">
        <v>680</v>
      </c>
      <c r="O36" s="18">
        <v>39</v>
      </c>
      <c r="P36" s="159">
        <v>73</v>
      </c>
    </row>
    <row r="37" spans="2:16" s="5" customFormat="1" x14ac:dyDescent="0.25">
      <c r="B37" s="724">
        <v>42350</v>
      </c>
      <c r="C37" s="41"/>
      <c r="D37" s="711" t="s">
        <v>247</v>
      </c>
      <c r="E37" s="41" t="s">
        <v>365</v>
      </c>
      <c r="F37" s="41" t="s">
        <v>320</v>
      </c>
      <c r="G37" s="41" t="s">
        <v>276</v>
      </c>
      <c r="H37" s="41" t="s">
        <v>313</v>
      </c>
      <c r="I37" s="41" t="s">
        <v>271</v>
      </c>
      <c r="J37" s="41" t="s">
        <v>330</v>
      </c>
      <c r="K37" s="41" t="s">
        <v>303</v>
      </c>
      <c r="L37" s="41" t="s">
        <v>270</v>
      </c>
      <c r="M37" s="41" t="s">
        <v>375</v>
      </c>
      <c r="N37" s="18">
        <v>485</v>
      </c>
      <c r="O37" s="18">
        <v>54</v>
      </c>
      <c r="P37" s="159">
        <v>91</v>
      </c>
    </row>
    <row r="38" spans="2:16" s="5" customFormat="1" x14ac:dyDescent="0.25">
      <c r="B38" s="724">
        <v>42350</v>
      </c>
      <c r="C38" s="41"/>
      <c r="D38" s="711" t="s">
        <v>248</v>
      </c>
      <c r="E38" s="41" t="s">
        <v>257</v>
      </c>
      <c r="F38" s="41" t="s">
        <v>329</v>
      </c>
      <c r="G38" s="41" t="s">
        <v>446</v>
      </c>
      <c r="H38" s="41" t="s">
        <v>292</v>
      </c>
      <c r="I38" s="41" t="s">
        <v>271</v>
      </c>
      <c r="J38" s="41" t="s">
        <v>279</v>
      </c>
      <c r="K38" s="41" t="s">
        <v>303</v>
      </c>
      <c r="L38" s="41" t="s">
        <v>270</v>
      </c>
      <c r="M38" s="41" t="s">
        <v>374</v>
      </c>
      <c r="N38" s="18">
        <v>461</v>
      </c>
      <c r="O38" s="18">
        <v>32</v>
      </c>
      <c r="P38" s="159">
        <v>123</v>
      </c>
    </row>
    <row r="39" spans="2:16" s="5" customFormat="1" x14ac:dyDescent="0.25">
      <c r="B39" s="724">
        <v>42351</v>
      </c>
      <c r="C39" s="41">
        <v>0.41875000000000001</v>
      </c>
      <c r="D39" s="711" t="s">
        <v>88</v>
      </c>
      <c r="E39" s="41" t="s">
        <v>257</v>
      </c>
      <c r="F39" s="41" t="s">
        <v>320</v>
      </c>
      <c r="G39" s="41" t="s">
        <v>276</v>
      </c>
      <c r="H39" s="41" t="s">
        <v>292</v>
      </c>
      <c r="I39" s="41" t="s">
        <v>296</v>
      </c>
      <c r="J39" s="41" t="s">
        <v>466</v>
      </c>
      <c r="K39" s="41" t="s">
        <v>303</v>
      </c>
      <c r="L39" s="41" t="s">
        <v>272</v>
      </c>
      <c r="M39" s="41" t="s">
        <v>371</v>
      </c>
      <c r="N39" s="18">
        <v>318</v>
      </c>
      <c r="O39" s="18">
        <v>21</v>
      </c>
      <c r="P39" s="159">
        <v>75</v>
      </c>
    </row>
    <row r="40" spans="2:16" s="5" customFormat="1" x14ac:dyDescent="0.25">
      <c r="B40" s="724">
        <v>42351</v>
      </c>
      <c r="C40" s="41">
        <v>0.75</v>
      </c>
      <c r="D40" s="711" t="s">
        <v>89</v>
      </c>
      <c r="E40" s="41" t="s">
        <v>256</v>
      </c>
      <c r="F40" s="41" t="s">
        <v>320</v>
      </c>
      <c r="G40" s="41" t="s">
        <v>276</v>
      </c>
      <c r="H40" s="41" t="s">
        <v>292</v>
      </c>
      <c r="I40" s="41" t="s">
        <v>271</v>
      </c>
      <c r="J40" s="41" t="s">
        <v>275</v>
      </c>
      <c r="K40" s="41" t="s">
        <v>303</v>
      </c>
      <c r="L40" s="41" t="s">
        <v>270</v>
      </c>
      <c r="M40" s="41" t="s">
        <v>371</v>
      </c>
      <c r="N40" s="18">
        <v>624</v>
      </c>
      <c r="O40" s="18">
        <v>36</v>
      </c>
      <c r="P40" s="159">
        <v>67</v>
      </c>
    </row>
    <row r="41" spans="2:16" s="5" customFormat="1" x14ac:dyDescent="0.25">
      <c r="B41" s="724">
        <v>42352</v>
      </c>
      <c r="C41" s="41">
        <v>0.58750000000000002</v>
      </c>
      <c r="D41" s="711" t="s">
        <v>91</v>
      </c>
      <c r="E41" s="41" t="s">
        <v>257</v>
      </c>
      <c r="F41" s="41" t="s">
        <v>329</v>
      </c>
      <c r="G41" s="41" t="s">
        <v>276</v>
      </c>
      <c r="H41" s="41" t="s">
        <v>292</v>
      </c>
      <c r="I41" s="41" t="s">
        <v>271</v>
      </c>
      <c r="J41" s="41" t="s">
        <v>376</v>
      </c>
      <c r="K41" s="41" t="s">
        <v>303</v>
      </c>
      <c r="L41" s="41" t="s">
        <v>270</v>
      </c>
      <c r="M41" s="41" t="s">
        <v>371</v>
      </c>
      <c r="N41" s="18">
        <v>203</v>
      </c>
      <c r="O41" s="18">
        <v>25</v>
      </c>
      <c r="P41" s="159">
        <v>23</v>
      </c>
    </row>
    <row r="42" spans="2:16" s="5" customFormat="1" x14ac:dyDescent="0.25">
      <c r="B42" s="724">
        <v>42352</v>
      </c>
      <c r="C42" s="41">
        <v>0.4152777777777778</v>
      </c>
      <c r="D42" s="711" t="s">
        <v>90</v>
      </c>
      <c r="E42" s="41" t="s">
        <v>256</v>
      </c>
      <c r="F42" s="41" t="s">
        <v>320</v>
      </c>
      <c r="G42" s="41" t="s">
        <v>276</v>
      </c>
      <c r="H42" s="41" t="s">
        <v>292</v>
      </c>
      <c r="I42" s="41" t="s">
        <v>296</v>
      </c>
      <c r="J42" s="41" t="s">
        <v>466</v>
      </c>
      <c r="K42" s="41" t="s">
        <v>303</v>
      </c>
      <c r="L42" s="41" t="s">
        <v>270</v>
      </c>
      <c r="M42" s="41" t="s">
        <v>375</v>
      </c>
      <c r="N42" s="18">
        <v>234</v>
      </c>
      <c r="O42" s="18">
        <v>114</v>
      </c>
      <c r="P42" s="159">
        <v>28</v>
      </c>
    </row>
    <row r="43" spans="2:16" s="5" customFormat="1" x14ac:dyDescent="0.25">
      <c r="B43" s="725">
        <v>42352</v>
      </c>
      <c r="C43" s="43">
        <v>0.70694444444444438</v>
      </c>
      <c r="D43" s="718" t="s">
        <v>92</v>
      </c>
      <c r="E43" s="117" t="s">
        <v>478</v>
      </c>
      <c r="F43" s="43" t="s">
        <v>329</v>
      </c>
      <c r="G43" s="43" t="s">
        <v>444</v>
      </c>
      <c r="H43" s="43" t="s">
        <v>292</v>
      </c>
      <c r="I43" s="43" t="s">
        <v>271</v>
      </c>
      <c r="J43" s="43" t="s">
        <v>376</v>
      </c>
      <c r="K43" s="43" t="s">
        <v>303</v>
      </c>
      <c r="L43" s="43" t="s">
        <v>272</v>
      </c>
      <c r="M43" s="43" t="s">
        <v>442</v>
      </c>
      <c r="N43" s="44">
        <v>1900</v>
      </c>
      <c r="O43" s="44">
        <v>154</v>
      </c>
      <c r="P43" s="162">
        <v>324</v>
      </c>
    </row>
    <row r="44" spans="2:16" s="5" customFormat="1" x14ac:dyDescent="0.25">
      <c r="B44" s="724">
        <v>42353</v>
      </c>
      <c r="C44" s="41">
        <v>0.70694444444444438</v>
      </c>
      <c r="D44" s="711" t="s">
        <v>95</v>
      </c>
      <c r="E44" s="41" t="s">
        <v>359</v>
      </c>
      <c r="F44" s="41" t="s">
        <v>320</v>
      </c>
      <c r="G44" s="41" t="s">
        <v>276</v>
      </c>
      <c r="H44" s="41" t="s">
        <v>292</v>
      </c>
      <c r="I44" s="41" t="s">
        <v>296</v>
      </c>
      <c r="J44" s="41" t="s">
        <v>290</v>
      </c>
      <c r="K44" s="41" t="s">
        <v>303</v>
      </c>
      <c r="L44" s="41" t="s">
        <v>270</v>
      </c>
      <c r="M44" s="41" t="s">
        <v>378</v>
      </c>
      <c r="N44" s="18">
        <v>214</v>
      </c>
      <c r="O44" s="18">
        <v>23</v>
      </c>
      <c r="P44" s="159">
        <v>130</v>
      </c>
    </row>
    <row r="45" spans="2:16" s="5" customFormat="1" x14ac:dyDescent="0.25">
      <c r="B45" s="724">
        <v>42353</v>
      </c>
      <c r="C45" s="41">
        <v>0.5708333333333333</v>
      </c>
      <c r="D45" s="711" t="s">
        <v>94</v>
      </c>
      <c r="E45" s="116" t="s">
        <v>478</v>
      </c>
      <c r="F45" s="41" t="s">
        <v>320</v>
      </c>
      <c r="G45" s="41" t="s">
        <v>444</v>
      </c>
      <c r="H45" s="41" t="s">
        <v>292</v>
      </c>
      <c r="I45" s="41" t="s">
        <v>271</v>
      </c>
      <c r="J45" s="41" t="s">
        <v>366</v>
      </c>
      <c r="K45" s="41" t="s">
        <v>303</v>
      </c>
      <c r="L45" s="41" t="s">
        <v>270</v>
      </c>
      <c r="M45" s="41" t="s">
        <v>442</v>
      </c>
      <c r="N45" s="18">
        <v>1800</v>
      </c>
      <c r="O45" s="18">
        <v>46</v>
      </c>
      <c r="P45" s="159">
        <v>164</v>
      </c>
    </row>
    <row r="46" spans="2:16" s="5" customFormat="1" x14ac:dyDescent="0.25">
      <c r="B46" s="724">
        <v>42353</v>
      </c>
      <c r="C46" s="41">
        <v>0.45208333333333334</v>
      </c>
      <c r="D46" s="711" t="s">
        <v>93</v>
      </c>
      <c r="E46" s="41" t="s">
        <v>287</v>
      </c>
      <c r="F46" s="41" t="s">
        <v>320</v>
      </c>
      <c r="G46" s="41" t="s">
        <v>276</v>
      </c>
      <c r="H46" s="41" t="s">
        <v>273</v>
      </c>
      <c r="I46" s="41" t="s">
        <v>271</v>
      </c>
      <c r="J46" s="41" t="s">
        <v>307</v>
      </c>
      <c r="K46" s="41" t="s">
        <v>303</v>
      </c>
      <c r="L46" s="41" t="s">
        <v>270</v>
      </c>
      <c r="M46" s="41" t="s">
        <v>371</v>
      </c>
      <c r="N46" s="18">
        <v>501</v>
      </c>
      <c r="O46" s="18">
        <v>55</v>
      </c>
      <c r="P46" s="159">
        <v>77</v>
      </c>
    </row>
    <row r="47" spans="2:16" s="5" customFormat="1" x14ac:dyDescent="0.25">
      <c r="B47" s="724">
        <v>42354</v>
      </c>
      <c r="C47" s="41">
        <v>0.70694444444444438</v>
      </c>
      <c r="D47" s="711" t="s">
        <v>98</v>
      </c>
      <c r="E47" s="41" t="s">
        <v>331</v>
      </c>
      <c r="F47" s="41" t="s">
        <v>320</v>
      </c>
      <c r="G47" s="41" t="s">
        <v>444</v>
      </c>
      <c r="H47" s="41" t="s">
        <v>292</v>
      </c>
      <c r="I47" s="41" t="s">
        <v>271</v>
      </c>
      <c r="J47" s="41" t="s">
        <v>376</v>
      </c>
      <c r="K47" s="41" t="s">
        <v>303</v>
      </c>
      <c r="L47" s="41" t="s">
        <v>272</v>
      </c>
      <c r="M47" s="41" t="s">
        <v>442</v>
      </c>
      <c r="N47" s="18">
        <v>355</v>
      </c>
      <c r="O47" s="18">
        <v>51</v>
      </c>
      <c r="P47" s="159">
        <v>41</v>
      </c>
    </row>
    <row r="48" spans="2:16" s="5" customFormat="1" x14ac:dyDescent="0.25">
      <c r="B48" s="724">
        <v>42354</v>
      </c>
      <c r="C48" s="41">
        <v>0.7895833333333333</v>
      </c>
      <c r="D48" s="711" t="s">
        <v>99</v>
      </c>
      <c r="E48" s="41" t="s">
        <v>328</v>
      </c>
      <c r="F48" s="41" t="s">
        <v>320</v>
      </c>
      <c r="G48" s="41" t="s">
        <v>276</v>
      </c>
      <c r="H48" s="41" t="s">
        <v>292</v>
      </c>
      <c r="I48" s="41" t="s">
        <v>271</v>
      </c>
      <c r="J48" s="41" t="s">
        <v>366</v>
      </c>
      <c r="K48" s="41" t="s">
        <v>303</v>
      </c>
      <c r="L48" s="41" t="s">
        <v>272</v>
      </c>
      <c r="M48" s="41" t="s">
        <v>442</v>
      </c>
      <c r="N48" s="18">
        <v>537</v>
      </c>
      <c r="O48" s="18">
        <v>58</v>
      </c>
      <c r="P48" s="159">
        <v>79</v>
      </c>
    </row>
    <row r="49" spans="2:16" s="5" customFormat="1" x14ac:dyDescent="0.25">
      <c r="B49" s="724">
        <v>42354</v>
      </c>
      <c r="C49" s="41">
        <v>0.38680555555555557</v>
      </c>
      <c r="D49" s="711" t="s">
        <v>96</v>
      </c>
      <c r="E49" s="41" t="s">
        <v>258</v>
      </c>
      <c r="F49" s="41" t="s">
        <v>320</v>
      </c>
      <c r="G49" s="41" t="s">
        <v>276</v>
      </c>
      <c r="H49" s="41" t="s">
        <v>292</v>
      </c>
      <c r="I49" s="41" t="s">
        <v>271</v>
      </c>
      <c r="J49" s="41" t="s">
        <v>366</v>
      </c>
      <c r="K49" s="41" t="s">
        <v>303</v>
      </c>
      <c r="L49" s="41" t="s">
        <v>272</v>
      </c>
      <c r="M49" s="41" t="s">
        <v>442</v>
      </c>
      <c r="N49" s="18">
        <v>549</v>
      </c>
      <c r="O49" s="18">
        <v>60</v>
      </c>
      <c r="P49" s="159">
        <v>70</v>
      </c>
    </row>
    <row r="50" spans="2:16" s="5" customFormat="1" x14ac:dyDescent="0.25">
      <c r="B50" s="724">
        <v>42354</v>
      </c>
      <c r="C50" s="41">
        <v>0.5541666666666667</v>
      </c>
      <c r="D50" s="711" t="s">
        <v>97</v>
      </c>
      <c r="E50" s="41" t="s">
        <v>359</v>
      </c>
      <c r="F50" s="41" t="s">
        <v>320</v>
      </c>
      <c r="G50" s="41" t="s">
        <v>446</v>
      </c>
      <c r="H50" s="41" t="s">
        <v>292</v>
      </c>
      <c r="I50" s="41" t="s">
        <v>296</v>
      </c>
      <c r="J50" s="41" t="s">
        <v>466</v>
      </c>
      <c r="K50" s="41" t="s">
        <v>303</v>
      </c>
      <c r="L50" s="41" t="s">
        <v>270</v>
      </c>
      <c r="M50" s="41" t="s">
        <v>374</v>
      </c>
      <c r="N50" s="18">
        <v>4500</v>
      </c>
      <c r="O50" s="18">
        <v>126</v>
      </c>
      <c r="P50" s="159">
        <v>1837</v>
      </c>
    </row>
    <row r="51" spans="2:16" s="5" customFormat="1" x14ac:dyDescent="0.25">
      <c r="B51" s="724">
        <v>42355</v>
      </c>
      <c r="C51" s="41">
        <v>0.57638888888888895</v>
      </c>
      <c r="D51" s="711" t="s">
        <v>101</v>
      </c>
      <c r="E51" s="41" t="s">
        <v>259</v>
      </c>
      <c r="F51" s="41" t="s">
        <v>320</v>
      </c>
      <c r="G51" s="41" t="s">
        <v>444</v>
      </c>
      <c r="H51" s="41" t="s">
        <v>283</v>
      </c>
      <c r="I51" s="41" t="s">
        <v>424</v>
      </c>
      <c r="J51" s="41" t="s">
        <v>275</v>
      </c>
      <c r="K51" s="41" t="s">
        <v>303</v>
      </c>
      <c r="L51" s="41" t="s">
        <v>272</v>
      </c>
      <c r="M51" s="41" t="s">
        <v>371</v>
      </c>
      <c r="N51" s="18">
        <v>885</v>
      </c>
      <c r="O51" s="18">
        <v>28</v>
      </c>
      <c r="P51" s="159">
        <v>98</v>
      </c>
    </row>
    <row r="52" spans="2:16" s="5" customFormat="1" x14ac:dyDescent="0.25">
      <c r="B52" s="724">
        <v>42355</v>
      </c>
      <c r="C52" s="41">
        <v>0.41805555555555557</v>
      </c>
      <c r="D52" s="711" t="s">
        <v>100</v>
      </c>
      <c r="E52" s="41" t="s">
        <v>254</v>
      </c>
      <c r="F52" s="41" t="s">
        <v>320</v>
      </c>
      <c r="G52" s="41" t="s">
        <v>276</v>
      </c>
      <c r="H52" s="41" t="s">
        <v>313</v>
      </c>
      <c r="I52" s="41" t="s">
        <v>296</v>
      </c>
      <c r="J52" s="41" t="s">
        <v>278</v>
      </c>
      <c r="K52" s="41" t="s">
        <v>303</v>
      </c>
      <c r="L52" s="41" t="s">
        <v>270</v>
      </c>
      <c r="M52" s="41" t="s">
        <v>371</v>
      </c>
      <c r="N52" s="18">
        <v>384</v>
      </c>
      <c r="O52" s="18">
        <v>66</v>
      </c>
      <c r="P52" s="159">
        <v>225</v>
      </c>
    </row>
    <row r="53" spans="2:16" s="5" customFormat="1" x14ac:dyDescent="0.25">
      <c r="B53" s="724">
        <v>42356</v>
      </c>
      <c r="C53" s="41">
        <v>0.7993055555555556</v>
      </c>
      <c r="D53" s="711" t="s">
        <v>102</v>
      </c>
      <c r="E53" s="41" t="s">
        <v>359</v>
      </c>
      <c r="F53" s="41" t="s">
        <v>320</v>
      </c>
      <c r="G53" s="41" t="s">
        <v>276</v>
      </c>
      <c r="H53" s="41" t="s">
        <v>292</v>
      </c>
      <c r="I53" s="41" t="s">
        <v>333</v>
      </c>
      <c r="J53" s="41" t="s">
        <v>376</v>
      </c>
      <c r="K53" s="41" t="s">
        <v>303</v>
      </c>
      <c r="L53" s="41" t="s">
        <v>272</v>
      </c>
      <c r="M53" s="41" t="s">
        <v>442</v>
      </c>
      <c r="N53" s="18">
        <v>243</v>
      </c>
      <c r="O53" s="18">
        <v>15</v>
      </c>
      <c r="P53" s="159">
        <v>38</v>
      </c>
    </row>
    <row r="54" spans="2:16" s="5" customFormat="1" x14ac:dyDescent="0.25">
      <c r="B54" s="724">
        <v>42357</v>
      </c>
      <c r="C54" s="41">
        <v>0.57847222222222217</v>
      </c>
      <c r="D54" s="711" t="s">
        <v>103</v>
      </c>
      <c r="E54" s="41" t="s">
        <v>285</v>
      </c>
      <c r="F54" s="41" t="s">
        <v>320</v>
      </c>
      <c r="G54" s="41" t="s">
        <v>276</v>
      </c>
      <c r="H54" s="41" t="s">
        <v>292</v>
      </c>
      <c r="I54" s="41" t="s">
        <v>271</v>
      </c>
      <c r="J54" s="41" t="s">
        <v>307</v>
      </c>
      <c r="K54" s="41" t="s">
        <v>303</v>
      </c>
      <c r="L54" s="41" t="s">
        <v>270</v>
      </c>
      <c r="M54" s="41" t="s">
        <v>375</v>
      </c>
      <c r="N54" s="18">
        <v>430</v>
      </c>
      <c r="O54" s="18">
        <v>64</v>
      </c>
      <c r="P54" s="159">
        <v>84</v>
      </c>
    </row>
    <row r="55" spans="2:16" s="5" customFormat="1" x14ac:dyDescent="0.25">
      <c r="B55" s="724">
        <v>42357</v>
      </c>
      <c r="C55" s="41">
        <v>0.70694444444444438</v>
      </c>
      <c r="D55" s="719" t="s">
        <v>249</v>
      </c>
      <c r="E55" s="41" t="s">
        <v>258</v>
      </c>
      <c r="F55" s="41" t="s">
        <v>320</v>
      </c>
      <c r="G55" s="41" t="s">
        <v>445</v>
      </c>
      <c r="H55" s="41" t="s">
        <v>292</v>
      </c>
      <c r="I55" s="41" t="s">
        <v>271</v>
      </c>
      <c r="J55" s="41" t="s">
        <v>274</v>
      </c>
      <c r="K55" s="41" t="s">
        <v>303</v>
      </c>
      <c r="L55" s="41" t="s">
        <v>272</v>
      </c>
      <c r="M55" s="41" t="s">
        <v>442</v>
      </c>
      <c r="N55" s="18">
        <v>338</v>
      </c>
      <c r="O55" s="18">
        <v>41</v>
      </c>
      <c r="P55" s="159">
        <v>64</v>
      </c>
    </row>
    <row r="56" spans="2:16" s="5" customFormat="1" x14ac:dyDescent="0.25">
      <c r="B56" s="724">
        <v>42358</v>
      </c>
      <c r="C56" s="41">
        <v>0.4152777777777778</v>
      </c>
      <c r="D56" s="711" t="s">
        <v>104</v>
      </c>
      <c r="E56" s="41" t="s">
        <v>285</v>
      </c>
      <c r="F56" s="41" t="s">
        <v>320</v>
      </c>
      <c r="G56" s="41" t="s">
        <v>276</v>
      </c>
      <c r="H56" s="41" t="s">
        <v>292</v>
      </c>
      <c r="I56" s="41" t="s">
        <v>324</v>
      </c>
      <c r="J56" s="41" t="s">
        <v>366</v>
      </c>
      <c r="K56" s="41" t="s">
        <v>303</v>
      </c>
      <c r="L56" s="41" t="s">
        <v>270</v>
      </c>
      <c r="M56" s="41" t="s">
        <v>371</v>
      </c>
      <c r="N56" s="18">
        <v>493</v>
      </c>
      <c r="O56" s="18">
        <v>18</v>
      </c>
      <c r="P56" s="159">
        <v>99</v>
      </c>
    </row>
    <row r="57" spans="2:16" s="5" customFormat="1" x14ac:dyDescent="0.25">
      <c r="B57" s="724">
        <v>42358</v>
      </c>
      <c r="C57" s="41">
        <v>0.53819444444444442</v>
      </c>
      <c r="D57" s="711" t="s">
        <v>105</v>
      </c>
      <c r="E57" s="41" t="s">
        <v>365</v>
      </c>
      <c r="F57" s="41" t="s">
        <v>320</v>
      </c>
      <c r="G57" s="41" t="s">
        <v>446</v>
      </c>
      <c r="H57" s="41" t="s">
        <v>292</v>
      </c>
      <c r="I57" s="41" t="s">
        <v>271</v>
      </c>
      <c r="J57" s="41" t="s">
        <v>290</v>
      </c>
      <c r="K57" s="41" t="s">
        <v>303</v>
      </c>
      <c r="L57" s="41" t="s">
        <v>270</v>
      </c>
      <c r="M57" s="41" t="s">
        <v>374</v>
      </c>
      <c r="N57" s="18">
        <v>848</v>
      </c>
      <c r="O57" s="18">
        <v>49</v>
      </c>
      <c r="P57" s="159">
        <v>278</v>
      </c>
    </row>
    <row r="58" spans="2:16" s="5" customFormat="1" x14ac:dyDescent="0.25">
      <c r="B58" s="724">
        <v>42359</v>
      </c>
      <c r="C58" s="41">
        <v>0.60069444444444442</v>
      </c>
      <c r="D58" s="711" t="s">
        <v>107</v>
      </c>
      <c r="E58" s="41" t="s">
        <v>285</v>
      </c>
      <c r="F58" s="41" t="s">
        <v>320</v>
      </c>
      <c r="G58" s="41" t="s">
        <v>276</v>
      </c>
      <c r="H58" s="41" t="s">
        <v>292</v>
      </c>
      <c r="I58" s="41" t="s">
        <v>271</v>
      </c>
      <c r="J58" s="41" t="s">
        <v>366</v>
      </c>
      <c r="K58" s="41" t="s">
        <v>303</v>
      </c>
      <c r="L58" s="41" t="s">
        <v>270</v>
      </c>
      <c r="M58" s="41" t="s">
        <v>371</v>
      </c>
      <c r="N58" s="18">
        <v>463</v>
      </c>
      <c r="O58" s="18">
        <v>30</v>
      </c>
      <c r="P58" s="159">
        <v>1</v>
      </c>
    </row>
    <row r="59" spans="2:16" s="5" customFormat="1" x14ac:dyDescent="0.25">
      <c r="B59" s="724">
        <v>42359</v>
      </c>
      <c r="C59" s="41">
        <v>0.41805555555555557</v>
      </c>
      <c r="D59" s="711" t="s">
        <v>106</v>
      </c>
      <c r="E59" s="41" t="s">
        <v>259</v>
      </c>
      <c r="F59" s="41" t="s">
        <v>320</v>
      </c>
      <c r="G59" s="41" t="s">
        <v>444</v>
      </c>
      <c r="H59" s="41" t="s">
        <v>283</v>
      </c>
      <c r="I59" s="41" t="s">
        <v>271</v>
      </c>
      <c r="J59" s="41" t="s">
        <v>366</v>
      </c>
      <c r="K59" s="41" t="s">
        <v>303</v>
      </c>
      <c r="L59" s="41" t="s">
        <v>270</v>
      </c>
      <c r="M59" s="41" t="s">
        <v>381</v>
      </c>
      <c r="N59" s="18">
        <v>422</v>
      </c>
      <c r="O59" s="18">
        <v>33</v>
      </c>
      <c r="P59" s="159">
        <v>50</v>
      </c>
    </row>
    <row r="60" spans="2:16" s="5" customFormat="1" x14ac:dyDescent="0.25">
      <c r="B60" s="724">
        <v>42360</v>
      </c>
      <c r="C60" s="41">
        <v>0.70694444444444438</v>
      </c>
      <c r="D60" s="711" t="s">
        <v>109</v>
      </c>
      <c r="E60" s="41" t="s">
        <v>285</v>
      </c>
      <c r="F60" s="41" t="s">
        <v>320</v>
      </c>
      <c r="G60" s="41" t="s">
        <v>276</v>
      </c>
      <c r="H60" s="41" t="s">
        <v>292</v>
      </c>
      <c r="I60" s="41" t="s">
        <v>271</v>
      </c>
      <c r="J60" s="41" t="s">
        <v>307</v>
      </c>
      <c r="K60" s="41" t="s">
        <v>303</v>
      </c>
      <c r="L60" s="41" t="s">
        <v>270</v>
      </c>
      <c r="M60" s="41" t="s">
        <v>371</v>
      </c>
      <c r="N60" s="18">
        <v>191</v>
      </c>
      <c r="O60" s="18">
        <v>12</v>
      </c>
      <c r="P60" s="159">
        <v>35</v>
      </c>
    </row>
    <row r="61" spans="2:16" s="5" customFormat="1" x14ac:dyDescent="0.25">
      <c r="B61" s="724">
        <v>42360</v>
      </c>
      <c r="C61" s="41">
        <v>0.79166666666666663</v>
      </c>
      <c r="D61" s="711" t="s">
        <v>110</v>
      </c>
      <c r="E61" s="41" t="s">
        <v>337</v>
      </c>
      <c r="F61" s="41" t="s">
        <v>320</v>
      </c>
      <c r="G61" s="41" t="s">
        <v>276</v>
      </c>
      <c r="H61" s="41" t="s">
        <v>283</v>
      </c>
      <c r="I61" s="41" t="s">
        <v>296</v>
      </c>
      <c r="J61" s="41" t="s">
        <v>274</v>
      </c>
      <c r="K61" s="41" t="s">
        <v>303</v>
      </c>
      <c r="L61" s="41" t="s">
        <v>270</v>
      </c>
      <c r="M61" s="41" t="s">
        <v>371</v>
      </c>
      <c r="N61" s="18">
        <v>242</v>
      </c>
      <c r="O61" s="18">
        <v>31</v>
      </c>
      <c r="P61" s="159">
        <v>72</v>
      </c>
    </row>
    <row r="62" spans="2:16" s="5" customFormat="1" x14ac:dyDescent="0.25">
      <c r="B62" s="724">
        <v>42360</v>
      </c>
      <c r="C62" s="41">
        <v>0.41875000000000001</v>
      </c>
      <c r="D62" s="711" t="s">
        <v>108</v>
      </c>
      <c r="E62" s="41" t="s">
        <v>285</v>
      </c>
      <c r="F62" s="41" t="s">
        <v>320</v>
      </c>
      <c r="G62" s="41" t="s">
        <v>276</v>
      </c>
      <c r="H62" s="41" t="s">
        <v>292</v>
      </c>
      <c r="I62" s="41" t="s">
        <v>296</v>
      </c>
      <c r="J62" s="41" t="s">
        <v>466</v>
      </c>
      <c r="K62" s="41" t="s">
        <v>303</v>
      </c>
      <c r="L62" s="41" t="s">
        <v>272</v>
      </c>
      <c r="M62" s="41" t="s">
        <v>371</v>
      </c>
      <c r="N62" s="18">
        <v>764</v>
      </c>
      <c r="O62" s="18">
        <v>40</v>
      </c>
      <c r="P62" s="159">
        <v>244</v>
      </c>
    </row>
    <row r="63" spans="2:16" x14ac:dyDescent="0.25">
      <c r="B63" s="724">
        <v>42361</v>
      </c>
      <c r="C63" s="41">
        <v>0.41666666666666669</v>
      </c>
      <c r="D63" s="711" t="s">
        <v>111</v>
      </c>
      <c r="E63" s="41" t="s">
        <v>364</v>
      </c>
      <c r="F63" s="41" t="s">
        <v>320</v>
      </c>
      <c r="G63" s="41" t="s">
        <v>446</v>
      </c>
      <c r="H63" s="41" t="s">
        <v>283</v>
      </c>
      <c r="I63" s="41" t="s">
        <v>271</v>
      </c>
      <c r="J63" s="41" t="s">
        <v>307</v>
      </c>
      <c r="K63" s="41" t="s">
        <v>303</v>
      </c>
      <c r="L63" s="41" t="s">
        <v>270</v>
      </c>
      <c r="M63" s="41" t="s">
        <v>371</v>
      </c>
      <c r="N63" s="18">
        <v>144</v>
      </c>
      <c r="O63" s="18">
        <v>11</v>
      </c>
      <c r="P63" s="159">
        <v>34</v>
      </c>
    </row>
    <row r="64" spans="2:16" x14ac:dyDescent="0.25">
      <c r="B64" s="724">
        <v>42361</v>
      </c>
      <c r="C64" s="41">
        <v>0.54166666666666663</v>
      </c>
      <c r="D64" s="711" t="s">
        <v>112</v>
      </c>
      <c r="E64" s="41" t="s">
        <v>380</v>
      </c>
      <c r="F64" s="41" t="s">
        <v>320</v>
      </c>
      <c r="G64" s="41" t="s">
        <v>444</v>
      </c>
      <c r="H64" s="41" t="s">
        <v>283</v>
      </c>
      <c r="I64" s="41" t="s">
        <v>271</v>
      </c>
      <c r="J64" s="41" t="s">
        <v>307</v>
      </c>
      <c r="K64" s="41" t="s">
        <v>303</v>
      </c>
      <c r="L64" s="41" t="s">
        <v>270</v>
      </c>
      <c r="M64" s="41" t="s">
        <v>368</v>
      </c>
      <c r="N64" s="18">
        <v>229</v>
      </c>
      <c r="O64" s="18">
        <v>35</v>
      </c>
      <c r="P64" s="159">
        <v>62</v>
      </c>
    </row>
    <row r="65" spans="2:16" x14ac:dyDescent="0.25">
      <c r="B65" s="724">
        <v>42361</v>
      </c>
      <c r="C65" s="41">
        <v>0.8652777777777777</v>
      </c>
      <c r="D65" s="711" t="s">
        <v>113</v>
      </c>
      <c r="E65" s="41" t="s">
        <v>380</v>
      </c>
      <c r="F65" s="41" t="s">
        <v>320</v>
      </c>
      <c r="G65" s="41" t="s">
        <v>444</v>
      </c>
      <c r="H65" s="41" t="s">
        <v>283</v>
      </c>
      <c r="I65" s="41" t="s">
        <v>271</v>
      </c>
      <c r="J65" s="41" t="s">
        <v>307</v>
      </c>
      <c r="K65" s="41" t="s">
        <v>332</v>
      </c>
      <c r="L65" s="41" t="s">
        <v>272</v>
      </c>
      <c r="M65" s="41" t="s">
        <v>442</v>
      </c>
      <c r="N65" s="18">
        <v>1800</v>
      </c>
      <c r="O65" s="18">
        <v>54</v>
      </c>
      <c r="P65" s="159">
        <v>56</v>
      </c>
    </row>
    <row r="66" spans="2:16" x14ac:dyDescent="0.25">
      <c r="B66" s="724">
        <v>42362</v>
      </c>
      <c r="C66" s="41">
        <v>0.4152777777777778</v>
      </c>
      <c r="D66" s="711" t="s">
        <v>114</v>
      </c>
      <c r="E66" s="41" t="s">
        <v>309</v>
      </c>
      <c r="F66" s="41" t="s">
        <v>320</v>
      </c>
      <c r="G66" s="41" t="s">
        <v>444</v>
      </c>
      <c r="H66" s="41" t="s">
        <v>283</v>
      </c>
      <c r="I66" s="41" t="s">
        <v>271</v>
      </c>
      <c r="J66" s="41" t="s">
        <v>279</v>
      </c>
      <c r="K66" s="41" t="s">
        <v>303</v>
      </c>
      <c r="L66" s="41" t="s">
        <v>272</v>
      </c>
      <c r="M66" s="41" t="s">
        <v>368</v>
      </c>
      <c r="N66" s="18">
        <v>785</v>
      </c>
      <c r="O66" s="18">
        <v>155</v>
      </c>
      <c r="P66" s="159">
        <v>145</v>
      </c>
    </row>
    <row r="67" spans="2:16" x14ac:dyDescent="0.25">
      <c r="B67" s="724">
        <v>42363</v>
      </c>
      <c r="C67" s="41">
        <v>0.7104166666666667</v>
      </c>
      <c r="D67" s="711" t="s">
        <v>116</v>
      </c>
      <c r="E67" s="41" t="s">
        <v>309</v>
      </c>
      <c r="F67" s="41" t="s">
        <v>320</v>
      </c>
      <c r="G67" s="41" t="s">
        <v>444</v>
      </c>
      <c r="H67" s="41" t="s">
        <v>283</v>
      </c>
      <c r="I67" s="41" t="s">
        <v>271</v>
      </c>
      <c r="J67" s="41" t="s">
        <v>307</v>
      </c>
      <c r="K67" s="41" t="s">
        <v>303</v>
      </c>
      <c r="L67" s="41" t="s">
        <v>270</v>
      </c>
      <c r="M67" s="41" t="s">
        <v>371</v>
      </c>
      <c r="N67" s="18">
        <v>313</v>
      </c>
      <c r="O67" s="18">
        <v>14</v>
      </c>
      <c r="P67" s="159">
        <v>40</v>
      </c>
    </row>
    <row r="68" spans="2:16" x14ac:dyDescent="0.25">
      <c r="B68" s="724">
        <v>42363</v>
      </c>
      <c r="C68" s="41">
        <v>0.39444444444444443</v>
      </c>
      <c r="D68" s="711" t="s">
        <v>115</v>
      </c>
      <c r="E68" s="41" t="s">
        <v>331</v>
      </c>
      <c r="F68" s="41" t="s">
        <v>320</v>
      </c>
      <c r="G68" s="41" t="s">
        <v>276</v>
      </c>
      <c r="H68" s="41" t="s">
        <v>292</v>
      </c>
      <c r="I68" s="41" t="s">
        <v>333</v>
      </c>
      <c r="J68" s="41" t="s">
        <v>376</v>
      </c>
      <c r="K68" s="41" t="s">
        <v>303</v>
      </c>
      <c r="L68" s="41" t="s">
        <v>272</v>
      </c>
      <c r="M68" s="41" t="s">
        <v>442</v>
      </c>
      <c r="N68" s="18">
        <v>283</v>
      </c>
      <c r="O68" s="18">
        <v>62</v>
      </c>
      <c r="P68" s="159">
        <v>22</v>
      </c>
    </row>
    <row r="69" spans="2:16" x14ac:dyDescent="0.25">
      <c r="B69" s="724">
        <v>42363</v>
      </c>
      <c r="C69" s="41">
        <v>0.81874999999999998</v>
      </c>
      <c r="D69" s="711" t="s">
        <v>117</v>
      </c>
      <c r="E69" s="41" t="s">
        <v>309</v>
      </c>
      <c r="F69" s="41" t="s">
        <v>320</v>
      </c>
      <c r="G69" s="41" t="s">
        <v>444</v>
      </c>
      <c r="H69" s="41" t="s">
        <v>292</v>
      </c>
      <c r="I69" s="41" t="s">
        <v>296</v>
      </c>
      <c r="J69" s="41" t="s">
        <v>376</v>
      </c>
      <c r="K69" s="41" t="s">
        <v>303</v>
      </c>
      <c r="L69" s="41" t="s">
        <v>270</v>
      </c>
      <c r="M69" s="41" t="s">
        <v>371</v>
      </c>
      <c r="N69" s="18">
        <v>429</v>
      </c>
      <c r="O69" s="18">
        <v>74</v>
      </c>
      <c r="P69" s="159">
        <v>60</v>
      </c>
    </row>
    <row r="70" spans="2:16" x14ac:dyDescent="0.25">
      <c r="B70" s="724">
        <v>42364</v>
      </c>
      <c r="C70" s="41">
        <v>0.4152777777777778</v>
      </c>
      <c r="D70" s="711" t="s">
        <v>118</v>
      </c>
      <c r="E70" s="41" t="s">
        <v>285</v>
      </c>
      <c r="F70" s="41" t="s">
        <v>320</v>
      </c>
      <c r="G70" s="41" t="s">
        <v>276</v>
      </c>
      <c r="H70" s="41" t="s">
        <v>292</v>
      </c>
      <c r="I70" s="41" t="s">
        <v>271</v>
      </c>
      <c r="J70" s="41" t="s">
        <v>307</v>
      </c>
      <c r="K70" s="41" t="s">
        <v>303</v>
      </c>
      <c r="L70" s="41" t="s">
        <v>270</v>
      </c>
      <c r="M70" s="41" t="s">
        <v>371</v>
      </c>
      <c r="N70" s="18">
        <v>871</v>
      </c>
      <c r="O70" s="18">
        <v>82</v>
      </c>
      <c r="P70" s="159">
        <v>66</v>
      </c>
    </row>
    <row r="71" spans="2:16" x14ac:dyDescent="0.25">
      <c r="B71" s="724">
        <v>42365</v>
      </c>
      <c r="C71" s="41">
        <v>0.41666666666666669</v>
      </c>
      <c r="D71" s="711" t="s">
        <v>119</v>
      </c>
      <c r="E71" s="41" t="s">
        <v>259</v>
      </c>
      <c r="F71" s="41" t="s">
        <v>320</v>
      </c>
      <c r="G71" s="41" t="s">
        <v>276</v>
      </c>
      <c r="H71" s="41" t="s">
        <v>273</v>
      </c>
      <c r="I71" s="41" t="s">
        <v>269</v>
      </c>
      <c r="J71" s="41" t="s">
        <v>466</v>
      </c>
      <c r="K71" s="41" t="s">
        <v>303</v>
      </c>
      <c r="L71" s="41" t="s">
        <v>272</v>
      </c>
      <c r="M71" s="41" t="s">
        <v>373</v>
      </c>
      <c r="N71" s="18">
        <v>98</v>
      </c>
      <c r="O71" s="18">
        <v>18</v>
      </c>
      <c r="P71" s="159">
        <v>20</v>
      </c>
    </row>
    <row r="72" spans="2:16" x14ac:dyDescent="0.25">
      <c r="B72" s="724">
        <v>42365</v>
      </c>
      <c r="C72" s="41">
        <v>0.9604166666666667</v>
      </c>
      <c r="D72" s="711" t="s">
        <v>120</v>
      </c>
      <c r="E72" s="41" t="s">
        <v>380</v>
      </c>
      <c r="F72" s="41" t="s">
        <v>320</v>
      </c>
      <c r="G72" s="41" t="s">
        <v>276</v>
      </c>
      <c r="H72" s="41" t="s">
        <v>292</v>
      </c>
      <c r="I72" s="41" t="s">
        <v>296</v>
      </c>
      <c r="J72" s="41" t="s">
        <v>366</v>
      </c>
      <c r="K72" s="41" t="s">
        <v>303</v>
      </c>
      <c r="L72" s="41" t="s">
        <v>270</v>
      </c>
      <c r="M72" s="41" t="s">
        <v>442</v>
      </c>
      <c r="N72" s="18">
        <v>739</v>
      </c>
      <c r="O72" s="18">
        <v>99</v>
      </c>
      <c r="P72" s="159">
        <v>143</v>
      </c>
    </row>
    <row r="73" spans="2:16" x14ac:dyDescent="0.25">
      <c r="B73" s="724">
        <v>42366</v>
      </c>
      <c r="C73" s="41">
        <v>0.8354166666666667</v>
      </c>
      <c r="D73" s="711" t="s">
        <v>121</v>
      </c>
      <c r="E73" s="116" t="s">
        <v>478</v>
      </c>
      <c r="F73" s="41" t="s">
        <v>320</v>
      </c>
      <c r="G73" s="41" t="s">
        <v>444</v>
      </c>
      <c r="H73" s="41" t="s">
        <v>283</v>
      </c>
      <c r="I73" s="41" t="s">
        <v>271</v>
      </c>
      <c r="J73" s="41" t="s">
        <v>274</v>
      </c>
      <c r="K73" s="41" t="s">
        <v>303</v>
      </c>
      <c r="L73" s="41" t="s">
        <v>272</v>
      </c>
      <c r="M73" s="41" t="s">
        <v>442</v>
      </c>
      <c r="N73" s="18">
        <v>1800</v>
      </c>
      <c r="O73" s="18">
        <v>34</v>
      </c>
      <c r="P73" s="159">
        <v>78</v>
      </c>
    </row>
    <row r="74" spans="2:16" x14ac:dyDescent="0.25">
      <c r="B74" s="724">
        <v>42367</v>
      </c>
      <c r="C74" s="41">
        <v>0.42708333333333331</v>
      </c>
      <c r="D74" s="711" t="s">
        <v>122</v>
      </c>
      <c r="E74" s="41" t="s">
        <v>256</v>
      </c>
      <c r="F74" s="41" t="s">
        <v>320</v>
      </c>
      <c r="G74" s="41" t="s">
        <v>276</v>
      </c>
      <c r="H74" s="41" t="s">
        <v>292</v>
      </c>
      <c r="I74" s="41" t="s">
        <v>271</v>
      </c>
      <c r="J74" s="41" t="s">
        <v>307</v>
      </c>
      <c r="K74" s="41" t="s">
        <v>303</v>
      </c>
      <c r="L74" s="41" t="s">
        <v>270</v>
      </c>
      <c r="M74" s="41" t="s">
        <v>375</v>
      </c>
      <c r="N74" s="18">
        <v>255</v>
      </c>
      <c r="O74" s="18">
        <v>82</v>
      </c>
      <c r="P74" s="159">
        <v>51</v>
      </c>
    </row>
    <row r="75" spans="2:16" x14ac:dyDescent="0.25">
      <c r="B75" s="724">
        <v>42367</v>
      </c>
      <c r="C75" s="41">
        <v>0.70694444444444438</v>
      </c>
      <c r="D75" s="711" t="s">
        <v>123</v>
      </c>
      <c r="E75" s="41" t="s">
        <v>258</v>
      </c>
      <c r="F75" s="41" t="s">
        <v>320</v>
      </c>
      <c r="G75" s="41" t="s">
        <v>444</v>
      </c>
      <c r="H75" s="41" t="s">
        <v>283</v>
      </c>
      <c r="I75" s="41" t="s">
        <v>324</v>
      </c>
      <c r="J75" s="41" t="s">
        <v>307</v>
      </c>
      <c r="K75" s="41" t="s">
        <v>303</v>
      </c>
      <c r="L75" s="41" t="s">
        <v>270</v>
      </c>
      <c r="M75" s="41" t="s">
        <v>371</v>
      </c>
      <c r="N75" s="18">
        <v>516</v>
      </c>
      <c r="O75" s="18">
        <v>139</v>
      </c>
      <c r="P75" s="159">
        <v>122</v>
      </c>
    </row>
    <row r="76" spans="2:16" x14ac:dyDescent="0.25">
      <c r="B76" s="724">
        <v>42368</v>
      </c>
      <c r="C76" s="41">
        <v>0.78611111111111109</v>
      </c>
      <c r="D76" s="711" t="s">
        <v>125</v>
      </c>
      <c r="E76" s="41" t="s">
        <v>321</v>
      </c>
      <c r="F76" s="41" t="s">
        <v>320</v>
      </c>
      <c r="G76" s="41" t="s">
        <v>276</v>
      </c>
      <c r="H76" s="41" t="s">
        <v>292</v>
      </c>
      <c r="I76" s="41" t="s">
        <v>296</v>
      </c>
      <c r="J76" s="41" t="s">
        <v>366</v>
      </c>
      <c r="K76" s="41" t="s">
        <v>303</v>
      </c>
      <c r="L76" s="41" t="s">
        <v>270</v>
      </c>
      <c r="M76" s="41" t="s">
        <v>371</v>
      </c>
      <c r="N76" s="18">
        <v>115</v>
      </c>
      <c r="O76" s="18">
        <v>19</v>
      </c>
      <c r="P76" s="159">
        <v>41</v>
      </c>
    </row>
    <row r="77" spans="2:16" x14ac:dyDescent="0.25">
      <c r="B77" s="724">
        <v>42368</v>
      </c>
      <c r="C77" s="41">
        <v>0.4152777777777778</v>
      </c>
      <c r="D77" s="711" t="s">
        <v>124</v>
      </c>
      <c r="E77" s="41" t="s">
        <v>259</v>
      </c>
      <c r="F77" s="41" t="s">
        <v>320</v>
      </c>
      <c r="G77" s="41" t="s">
        <v>445</v>
      </c>
      <c r="H77" s="41" t="s">
        <v>283</v>
      </c>
      <c r="I77" s="41" t="s">
        <v>424</v>
      </c>
      <c r="J77" s="41" t="s">
        <v>437</v>
      </c>
      <c r="K77" s="41" t="s">
        <v>303</v>
      </c>
      <c r="L77" s="41" t="s">
        <v>270</v>
      </c>
      <c r="M77" s="41" t="s">
        <v>375</v>
      </c>
      <c r="N77" s="18">
        <v>1400</v>
      </c>
      <c r="O77" s="18">
        <v>87</v>
      </c>
      <c r="P77" s="159">
        <v>186</v>
      </c>
    </row>
    <row r="78" spans="2:16" x14ac:dyDescent="0.25">
      <c r="B78" s="724">
        <v>42369</v>
      </c>
      <c r="C78" s="41">
        <v>0.75138888888888899</v>
      </c>
      <c r="D78" s="711" t="s">
        <v>126</v>
      </c>
      <c r="E78" s="41" t="s">
        <v>380</v>
      </c>
      <c r="F78" s="41" t="s">
        <v>320</v>
      </c>
      <c r="G78" s="41" t="s">
        <v>444</v>
      </c>
      <c r="H78" s="41" t="s">
        <v>283</v>
      </c>
      <c r="I78" s="41" t="s">
        <v>271</v>
      </c>
      <c r="J78" s="41" t="s">
        <v>307</v>
      </c>
      <c r="K78" s="41" t="s">
        <v>303</v>
      </c>
      <c r="L78" s="41" t="s">
        <v>270</v>
      </c>
      <c r="M78" s="41" t="s">
        <v>368</v>
      </c>
      <c r="N78" s="18">
        <v>180</v>
      </c>
      <c r="O78" s="18">
        <v>27</v>
      </c>
      <c r="P78" s="159">
        <v>13</v>
      </c>
    </row>
    <row r="79" spans="2:16" ht="15.75" thickBot="1" x14ac:dyDescent="0.3">
      <c r="B79" s="726">
        <v>42369</v>
      </c>
      <c r="C79" s="164">
        <v>0.9604166666666667</v>
      </c>
      <c r="D79" s="727" t="s">
        <v>127</v>
      </c>
      <c r="E79" s="165" t="s">
        <v>380</v>
      </c>
      <c r="F79" s="165" t="s">
        <v>320</v>
      </c>
      <c r="G79" s="165" t="s">
        <v>444</v>
      </c>
      <c r="H79" s="165" t="s">
        <v>283</v>
      </c>
      <c r="I79" s="165" t="s">
        <v>271</v>
      </c>
      <c r="J79" s="165" t="s">
        <v>306</v>
      </c>
      <c r="K79" s="165" t="s">
        <v>303</v>
      </c>
      <c r="L79" s="165" t="s">
        <v>272</v>
      </c>
      <c r="M79" s="165" t="s">
        <v>442</v>
      </c>
      <c r="N79" s="165">
        <v>9117</v>
      </c>
      <c r="O79" s="165">
        <v>298</v>
      </c>
      <c r="P79" s="166">
        <v>768</v>
      </c>
    </row>
    <row r="80" spans="2:16" x14ac:dyDescent="0.25">
      <c r="E80" s="122"/>
    </row>
    <row r="81" spans="5:5" x14ac:dyDescent="0.25">
      <c r="E81" s="122"/>
    </row>
    <row r="82" spans="5:5" x14ac:dyDescent="0.25">
      <c r="E82" s="122"/>
    </row>
    <row r="83" spans="5:5" x14ac:dyDescent="0.25">
      <c r="E83" s="122"/>
    </row>
    <row r="84" spans="5:5" x14ac:dyDescent="0.25">
      <c r="E84" s="122"/>
    </row>
    <row r="85" spans="5:5" x14ac:dyDescent="0.25">
      <c r="E85" s="122"/>
    </row>
    <row r="86" spans="5:5" x14ac:dyDescent="0.25">
      <c r="E86" s="122"/>
    </row>
    <row r="87" spans="5:5" x14ac:dyDescent="0.25">
      <c r="E87" s="122"/>
    </row>
    <row r="88" spans="5:5" x14ac:dyDescent="0.25">
      <c r="E88" s="122"/>
    </row>
    <row r="89" spans="5:5" x14ac:dyDescent="0.25">
      <c r="E89" s="122"/>
    </row>
    <row r="90" spans="5:5" x14ac:dyDescent="0.25">
      <c r="E90" s="122"/>
    </row>
    <row r="91" spans="5:5" x14ac:dyDescent="0.25">
      <c r="E91" s="122"/>
    </row>
    <row r="92" spans="5:5" x14ac:dyDescent="0.25">
      <c r="E92" s="122"/>
    </row>
    <row r="93" spans="5:5" x14ac:dyDescent="0.25">
      <c r="E93" s="122"/>
    </row>
    <row r="94" spans="5:5" x14ac:dyDescent="0.25">
      <c r="E94" s="122"/>
    </row>
    <row r="95" spans="5:5" x14ac:dyDescent="0.25">
      <c r="E95" s="122"/>
    </row>
    <row r="96" spans="5:5" x14ac:dyDescent="0.25">
      <c r="E96" s="122"/>
    </row>
    <row r="97" spans="5:5" x14ac:dyDescent="0.25">
      <c r="E97" s="122"/>
    </row>
    <row r="98" spans="5:5" x14ac:dyDescent="0.25">
      <c r="E98" s="122"/>
    </row>
    <row r="99" spans="5:5" x14ac:dyDescent="0.25">
      <c r="E99" s="122"/>
    </row>
    <row r="100" spans="5:5" x14ac:dyDescent="0.25">
      <c r="E100" s="122"/>
    </row>
    <row r="101" spans="5:5" x14ac:dyDescent="0.25">
      <c r="E101" s="122"/>
    </row>
    <row r="102" spans="5:5" x14ac:dyDescent="0.25">
      <c r="E102" s="122"/>
    </row>
    <row r="103" spans="5:5" x14ac:dyDescent="0.25">
      <c r="E103" s="122"/>
    </row>
    <row r="104" spans="5:5" x14ac:dyDescent="0.25">
      <c r="E104" s="122"/>
    </row>
    <row r="105" spans="5:5" x14ac:dyDescent="0.25">
      <c r="E105" s="122"/>
    </row>
    <row r="106" spans="5:5" x14ac:dyDescent="0.25">
      <c r="E106" s="122"/>
    </row>
    <row r="107" spans="5:5" x14ac:dyDescent="0.25">
      <c r="E107" s="122"/>
    </row>
    <row r="108" spans="5:5" x14ac:dyDescent="0.25">
      <c r="E108" s="122"/>
    </row>
    <row r="109" spans="5:5" x14ac:dyDescent="0.25">
      <c r="E109" s="122"/>
    </row>
    <row r="110" spans="5:5" x14ac:dyDescent="0.25">
      <c r="E110" s="122"/>
    </row>
    <row r="111" spans="5:5" x14ac:dyDescent="0.25">
      <c r="E111" s="122"/>
    </row>
    <row r="112" spans="5:5" x14ac:dyDescent="0.25">
      <c r="E112" s="122"/>
    </row>
    <row r="113" spans="5:5" x14ac:dyDescent="0.25">
      <c r="E113" s="122"/>
    </row>
    <row r="114" spans="5:5" x14ac:dyDescent="0.25">
      <c r="E114" s="122"/>
    </row>
    <row r="115" spans="5:5" x14ac:dyDescent="0.25">
      <c r="E115" s="122"/>
    </row>
    <row r="116" spans="5:5" x14ac:dyDescent="0.25">
      <c r="E116" s="122"/>
    </row>
    <row r="117" spans="5:5" x14ac:dyDescent="0.25">
      <c r="E117" s="122"/>
    </row>
    <row r="118" spans="5:5" x14ac:dyDescent="0.25">
      <c r="E118" s="122"/>
    </row>
    <row r="119" spans="5:5" x14ac:dyDescent="0.25">
      <c r="E119" s="122"/>
    </row>
    <row r="120" spans="5:5" x14ac:dyDescent="0.25">
      <c r="E120" s="122"/>
    </row>
    <row r="121" spans="5:5" x14ac:dyDescent="0.25">
      <c r="E121" s="122"/>
    </row>
    <row r="122" spans="5:5" x14ac:dyDescent="0.25">
      <c r="E122" s="122"/>
    </row>
    <row r="123" spans="5:5" x14ac:dyDescent="0.25">
      <c r="E123" s="122"/>
    </row>
    <row r="124" spans="5:5" x14ac:dyDescent="0.25">
      <c r="E124" s="122"/>
    </row>
    <row r="125" spans="5:5" x14ac:dyDescent="0.25">
      <c r="E125" s="122"/>
    </row>
    <row r="126" spans="5:5" x14ac:dyDescent="0.25">
      <c r="E126" s="122"/>
    </row>
    <row r="127" spans="5:5" x14ac:dyDescent="0.25">
      <c r="E127" s="122"/>
    </row>
    <row r="128" spans="5:5" x14ac:dyDescent="0.25">
      <c r="E128" s="122"/>
    </row>
    <row r="129" spans="5:5" x14ac:dyDescent="0.25">
      <c r="E129" s="122"/>
    </row>
    <row r="130" spans="5:5" x14ac:dyDescent="0.25">
      <c r="E130" s="122"/>
    </row>
    <row r="131" spans="5:5" x14ac:dyDescent="0.25">
      <c r="E131" s="122"/>
    </row>
    <row r="132" spans="5:5" x14ac:dyDescent="0.25">
      <c r="E132" s="122"/>
    </row>
    <row r="133" spans="5:5" x14ac:dyDescent="0.25">
      <c r="E133" s="122"/>
    </row>
    <row r="134" spans="5:5" x14ac:dyDescent="0.25">
      <c r="E134" s="122"/>
    </row>
    <row r="135" spans="5:5" x14ac:dyDescent="0.25">
      <c r="E135" s="122"/>
    </row>
    <row r="136" spans="5:5" x14ac:dyDescent="0.25">
      <c r="E136" s="122"/>
    </row>
    <row r="137" spans="5:5" x14ac:dyDescent="0.25">
      <c r="E137" s="122"/>
    </row>
    <row r="138" spans="5:5" x14ac:dyDescent="0.25">
      <c r="E138" s="122"/>
    </row>
    <row r="139" spans="5:5" x14ac:dyDescent="0.25">
      <c r="E139" s="122"/>
    </row>
    <row r="140" spans="5:5" x14ac:dyDescent="0.25">
      <c r="E140" s="122"/>
    </row>
    <row r="141" spans="5:5" x14ac:dyDescent="0.25">
      <c r="E141" s="122"/>
    </row>
    <row r="142" spans="5:5" x14ac:dyDescent="0.25">
      <c r="E142" s="122"/>
    </row>
    <row r="143" spans="5:5" x14ac:dyDescent="0.25">
      <c r="E143" s="122"/>
    </row>
    <row r="144" spans="5:5" x14ac:dyDescent="0.25">
      <c r="E144" s="122"/>
    </row>
    <row r="145" spans="5:5" x14ac:dyDescent="0.25">
      <c r="E145" s="122"/>
    </row>
    <row r="146" spans="5:5" x14ac:dyDescent="0.25">
      <c r="E146" s="122"/>
    </row>
    <row r="147" spans="5:5" x14ac:dyDescent="0.25">
      <c r="E147" s="122"/>
    </row>
    <row r="148" spans="5:5" x14ac:dyDescent="0.25">
      <c r="E148" s="122"/>
    </row>
    <row r="149" spans="5:5" x14ac:dyDescent="0.25">
      <c r="E149" s="122"/>
    </row>
    <row r="150" spans="5:5" x14ac:dyDescent="0.25">
      <c r="E150" s="122"/>
    </row>
    <row r="151" spans="5:5" x14ac:dyDescent="0.25">
      <c r="E151" s="122"/>
    </row>
    <row r="152" spans="5:5" x14ac:dyDescent="0.25">
      <c r="E152" s="122"/>
    </row>
    <row r="153" spans="5:5" x14ac:dyDescent="0.25">
      <c r="E153" s="122"/>
    </row>
    <row r="154" spans="5:5" x14ac:dyDescent="0.25">
      <c r="E154" s="122"/>
    </row>
    <row r="155" spans="5:5" x14ac:dyDescent="0.25">
      <c r="E155" s="122"/>
    </row>
    <row r="156" spans="5:5" x14ac:dyDescent="0.25">
      <c r="E156" s="122"/>
    </row>
    <row r="157" spans="5:5" x14ac:dyDescent="0.25">
      <c r="E157" s="122"/>
    </row>
    <row r="158" spans="5:5" x14ac:dyDescent="0.25">
      <c r="E158" s="122"/>
    </row>
    <row r="159" spans="5:5" x14ac:dyDescent="0.25">
      <c r="E159" s="122"/>
    </row>
    <row r="160" spans="5:5" x14ac:dyDescent="0.25">
      <c r="E160" s="122"/>
    </row>
    <row r="161" spans="5:5" x14ac:dyDescent="0.25">
      <c r="E161" s="122"/>
    </row>
    <row r="162" spans="5:5" x14ac:dyDescent="0.25">
      <c r="E162" s="122"/>
    </row>
    <row r="163" spans="5:5" x14ac:dyDescent="0.25">
      <c r="E163" s="122"/>
    </row>
    <row r="164" spans="5:5" x14ac:dyDescent="0.25">
      <c r="E164" s="122"/>
    </row>
    <row r="165" spans="5:5" x14ac:dyDescent="0.25">
      <c r="E165" s="122"/>
    </row>
    <row r="166" spans="5:5" x14ac:dyDescent="0.25">
      <c r="E166" s="122"/>
    </row>
    <row r="167" spans="5:5" x14ac:dyDescent="0.25">
      <c r="E167" s="122"/>
    </row>
    <row r="168" spans="5:5" x14ac:dyDescent="0.25">
      <c r="E168" s="122"/>
    </row>
    <row r="169" spans="5:5" x14ac:dyDescent="0.25">
      <c r="E169" s="122"/>
    </row>
    <row r="170" spans="5:5" x14ac:dyDescent="0.25">
      <c r="E170" s="122"/>
    </row>
    <row r="171" spans="5:5" x14ac:dyDescent="0.25">
      <c r="E171" s="122"/>
    </row>
    <row r="172" spans="5:5" x14ac:dyDescent="0.25">
      <c r="E172" s="122"/>
    </row>
    <row r="173" spans="5:5" x14ac:dyDescent="0.25">
      <c r="E173" s="122"/>
    </row>
    <row r="174" spans="5:5" x14ac:dyDescent="0.25">
      <c r="E174" s="122"/>
    </row>
    <row r="175" spans="5:5" x14ac:dyDescent="0.25">
      <c r="E175" s="122"/>
    </row>
    <row r="176" spans="5:5" x14ac:dyDescent="0.25">
      <c r="E176" s="122"/>
    </row>
    <row r="177" spans="5:5" x14ac:dyDescent="0.25">
      <c r="E177" s="122"/>
    </row>
    <row r="178" spans="5:5" x14ac:dyDescent="0.25">
      <c r="E178" s="122"/>
    </row>
    <row r="179" spans="5:5" x14ac:dyDescent="0.25">
      <c r="E179" s="122"/>
    </row>
    <row r="180" spans="5:5" x14ac:dyDescent="0.25">
      <c r="E180" s="122"/>
    </row>
    <row r="181" spans="5:5" x14ac:dyDescent="0.25">
      <c r="E181" s="122"/>
    </row>
    <row r="182" spans="5:5" x14ac:dyDescent="0.25">
      <c r="E182" s="122"/>
    </row>
    <row r="183" spans="5:5" x14ac:dyDescent="0.25">
      <c r="E183" s="122"/>
    </row>
    <row r="184" spans="5:5" x14ac:dyDescent="0.25">
      <c r="E184" s="122"/>
    </row>
    <row r="185" spans="5:5" x14ac:dyDescent="0.25">
      <c r="E185" s="122"/>
    </row>
    <row r="186" spans="5:5" x14ac:dyDescent="0.25">
      <c r="E186" s="122"/>
    </row>
    <row r="187" spans="5:5" x14ac:dyDescent="0.25">
      <c r="E187" s="122"/>
    </row>
    <row r="188" spans="5:5" x14ac:dyDescent="0.25">
      <c r="E188" s="122"/>
    </row>
    <row r="189" spans="5:5" x14ac:dyDescent="0.25">
      <c r="E189" s="122"/>
    </row>
    <row r="190" spans="5:5" x14ac:dyDescent="0.25">
      <c r="E190" s="122"/>
    </row>
    <row r="191" spans="5:5" x14ac:dyDescent="0.25">
      <c r="E191" s="122"/>
    </row>
    <row r="192" spans="5:5" x14ac:dyDescent="0.25">
      <c r="E192" s="122"/>
    </row>
    <row r="193" spans="5:5" x14ac:dyDescent="0.25">
      <c r="E193" s="122"/>
    </row>
    <row r="194" spans="5:5" x14ac:dyDescent="0.25">
      <c r="E194" s="122"/>
    </row>
    <row r="195" spans="5:5" x14ac:dyDescent="0.25">
      <c r="E195" s="122"/>
    </row>
    <row r="196" spans="5:5" x14ac:dyDescent="0.25">
      <c r="E196" s="122"/>
    </row>
    <row r="197" spans="5:5" x14ac:dyDescent="0.25">
      <c r="E197" s="122"/>
    </row>
    <row r="198" spans="5:5" x14ac:dyDescent="0.25">
      <c r="E198" s="122"/>
    </row>
    <row r="199" spans="5:5" x14ac:dyDescent="0.25">
      <c r="E199" s="122"/>
    </row>
    <row r="200" spans="5:5" x14ac:dyDescent="0.25">
      <c r="E200" s="122"/>
    </row>
    <row r="201" spans="5:5" x14ac:dyDescent="0.25">
      <c r="E201" s="122"/>
    </row>
    <row r="202" spans="5:5" x14ac:dyDescent="0.25">
      <c r="E202" s="122"/>
    </row>
    <row r="203" spans="5:5" x14ac:dyDescent="0.25">
      <c r="E203" s="122"/>
    </row>
    <row r="204" spans="5:5" x14ac:dyDescent="0.25">
      <c r="E204" s="122"/>
    </row>
    <row r="205" spans="5:5" x14ac:dyDescent="0.25">
      <c r="E205" s="122"/>
    </row>
    <row r="206" spans="5:5" x14ac:dyDescent="0.25">
      <c r="E206" s="122"/>
    </row>
    <row r="207" spans="5:5" x14ac:dyDescent="0.25">
      <c r="E207" s="122"/>
    </row>
    <row r="208" spans="5:5" x14ac:dyDescent="0.25">
      <c r="E208" s="122"/>
    </row>
    <row r="209" spans="5:5" x14ac:dyDescent="0.25">
      <c r="E209" s="122"/>
    </row>
    <row r="210" spans="5:5" x14ac:dyDescent="0.25">
      <c r="E210" s="122"/>
    </row>
    <row r="211" spans="5:5" x14ac:dyDescent="0.25">
      <c r="E211" s="122"/>
    </row>
    <row r="212" spans="5:5" x14ac:dyDescent="0.25">
      <c r="E212" s="122"/>
    </row>
    <row r="213" spans="5:5" x14ac:dyDescent="0.25">
      <c r="E213" s="122"/>
    </row>
    <row r="214" spans="5:5" x14ac:dyDescent="0.25">
      <c r="E214" s="122"/>
    </row>
    <row r="215" spans="5:5" x14ac:dyDescent="0.25">
      <c r="E215" s="122"/>
    </row>
    <row r="216" spans="5:5" x14ac:dyDescent="0.25">
      <c r="E216" s="122"/>
    </row>
    <row r="217" spans="5:5" x14ac:dyDescent="0.25">
      <c r="E217" s="122"/>
    </row>
    <row r="218" spans="5:5" x14ac:dyDescent="0.25">
      <c r="E218" s="122"/>
    </row>
    <row r="219" spans="5:5" x14ac:dyDescent="0.25">
      <c r="E219" s="122"/>
    </row>
    <row r="220" spans="5:5" x14ac:dyDescent="0.25">
      <c r="E220" s="122"/>
    </row>
    <row r="221" spans="5:5" x14ac:dyDescent="0.25">
      <c r="E221" s="122"/>
    </row>
    <row r="222" spans="5:5" x14ac:dyDescent="0.25">
      <c r="E222" s="122"/>
    </row>
    <row r="223" spans="5:5" x14ac:dyDescent="0.25">
      <c r="E223" s="122"/>
    </row>
  </sheetData>
  <mergeCells count="4">
    <mergeCell ref="B5:Q5"/>
    <mergeCell ref="R2:R4"/>
    <mergeCell ref="B2:P4"/>
    <mergeCell ref="Q2:Q4"/>
  </mergeCells>
  <hyperlinks>
    <hyperlink ref="D66" r:id="rId1"/>
    <hyperlink ref="D74" r:id="rId2"/>
    <hyperlink ref="D10" r:id="rId3"/>
    <hyperlink ref="D8" r:id="rId4"/>
    <hyperlink ref="D34" r:id="rId5"/>
    <hyperlink ref="D27" r:id="rId6"/>
    <hyperlink ref="D37" r:id="rId7"/>
    <hyperlink ref="D9" r:id="rId8"/>
    <hyperlink ref="D11" r:id="rId9"/>
    <hyperlink ref="D12" r:id="rId10"/>
    <hyperlink ref="D14" r:id="rId11"/>
    <hyperlink ref="D16" r:id="rId12"/>
    <hyperlink ref="D18" r:id="rId13"/>
    <hyperlink ref="D20" r:id="rId14"/>
    <hyperlink ref="D22" r:id="rId15"/>
    <hyperlink ref="D24" r:id="rId16"/>
    <hyperlink ref="D26" r:id="rId17"/>
    <hyperlink ref="D13" r:id="rId18"/>
    <hyperlink ref="D15" r:id="rId19"/>
    <hyperlink ref="D17" r:id="rId20"/>
    <hyperlink ref="D19" r:id="rId21"/>
    <hyperlink ref="D21" r:id="rId22"/>
    <hyperlink ref="D23" r:id="rId23"/>
    <hyperlink ref="D25" r:id="rId24"/>
    <hyperlink ref="D28" r:id="rId25"/>
    <hyperlink ref="D29" r:id="rId26"/>
    <hyperlink ref="D30" r:id="rId27"/>
    <hyperlink ref="D31" r:id="rId28"/>
    <hyperlink ref="D32" r:id="rId29"/>
    <hyperlink ref="D33" r:id="rId30"/>
    <hyperlink ref="D36" r:id="rId31"/>
    <hyperlink ref="D35" r:id="rId32"/>
    <hyperlink ref="D38" r:id="rId33"/>
    <hyperlink ref="D39" r:id="rId34"/>
    <hyperlink ref="D40" r:id="rId35"/>
    <hyperlink ref="D41" r:id="rId36"/>
    <hyperlink ref="D42" r:id="rId37"/>
    <hyperlink ref="D43" r:id="rId38"/>
    <hyperlink ref="D45" r:id="rId39" display="https://www.facebook.com/europeanparliament/videos/vb.178362315106/10156504965830107/?type=2&amp;theater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5" r:id="rId66"/>
    <hyperlink ref="D76" r:id="rId67"/>
    <hyperlink ref="D77" r:id="rId68"/>
    <hyperlink ref="D78" r:id="rId69"/>
    <hyperlink ref="D79" r:id="rId70"/>
  </hyperlinks>
  <pageMargins left="0.7" right="0.7" top="0.75" bottom="0.75" header="0.3" footer="0.3"/>
  <pageSetup paperSize="9" scale="35" orientation="portrait" r:id="rId71"/>
  <tableParts count="2">
    <tablePart r:id="rId72"/>
    <tablePart r:id="rId7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P67"/>
  <sheetViews>
    <sheetView showGridLines="0" view="pageBreakPreview" topLeftCell="A49" zoomScale="60" zoomScaleNormal="70" workbookViewId="0">
      <selection activeCell="E9" sqref="E9:E67"/>
    </sheetView>
  </sheetViews>
  <sheetFormatPr defaultRowHeight="15" x14ac:dyDescent="0.25"/>
  <cols>
    <col min="2" max="2" width="10" bestFit="1" customWidth="1"/>
    <col min="3" max="3" width="7.140625" bestFit="1" customWidth="1"/>
    <col min="4" max="4" width="13.85546875" style="720" bestFit="1" customWidth="1"/>
    <col min="5" max="5" width="23.5703125" style="3" bestFit="1" customWidth="1"/>
    <col min="6" max="6" width="19.7109375" bestFit="1" customWidth="1"/>
    <col min="7" max="7" width="23.5703125" bestFit="1" customWidth="1"/>
    <col min="8" max="8" width="18.85546875" bestFit="1" customWidth="1"/>
    <col min="9" max="9" width="31.5703125" bestFit="1" customWidth="1"/>
    <col min="10" max="10" width="20.28515625" bestFit="1" customWidth="1"/>
    <col min="11" max="11" width="9.5703125" bestFit="1" customWidth="1"/>
    <col min="12" max="12" width="11.42578125" customWidth="1"/>
    <col min="13" max="13" width="10.7109375" bestFit="1" customWidth="1"/>
    <col min="14" max="14" width="9.7109375" bestFit="1" customWidth="1"/>
    <col min="15" max="15" width="15.7109375" bestFit="1" customWidth="1"/>
    <col min="16" max="16" width="13" bestFit="1" customWidth="1"/>
    <col min="17" max="17" width="13.42578125" customWidth="1"/>
    <col min="18" max="18" width="10.28515625" customWidth="1"/>
    <col min="19" max="19" width="14.7109375" customWidth="1"/>
  </cols>
  <sheetData>
    <row r="1" spans="2:16" ht="15.75" thickBot="1" x14ac:dyDescent="0.3"/>
    <row r="2" spans="2:16" s="5" customFormat="1" ht="15.75" customHeight="1" x14ac:dyDescent="0.25">
      <c r="B2" s="383" t="s">
        <v>487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5"/>
    </row>
    <row r="3" spans="2:16" s="5" customFormat="1" ht="15" customHeight="1" x14ac:dyDescent="0.25">
      <c r="B3" s="386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8"/>
    </row>
    <row r="4" spans="2:16" s="5" customFormat="1" ht="15" customHeight="1" thickBot="1" x14ac:dyDescent="0.3">
      <c r="B4" s="389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1"/>
    </row>
    <row r="6" spans="2:16" x14ac:dyDescent="0.25">
      <c r="E6" s="45"/>
    </row>
    <row r="7" spans="2:16" x14ac:dyDescent="0.25">
      <c r="E7" s="122"/>
    </row>
    <row r="8" spans="2:16" x14ac:dyDescent="0.25">
      <c r="B8" s="124" t="s">
        <v>0</v>
      </c>
      <c r="C8" s="124" t="s">
        <v>1</v>
      </c>
      <c r="D8" s="125" t="s">
        <v>255</v>
      </c>
      <c r="E8" s="124" t="s">
        <v>253</v>
      </c>
      <c r="F8" s="124" t="s">
        <v>260</v>
      </c>
      <c r="G8" s="124" t="s">
        <v>261</v>
      </c>
      <c r="H8" s="124" t="s">
        <v>262</v>
      </c>
      <c r="I8" s="124" t="s">
        <v>263</v>
      </c>
      <c r="J8" s="124" t="s">
        <v>311</v>
      </c>
      <c r="K8" s="124" t="s">
        <v>301</v>
      </c>
      <c r="L8" s="124" t="s">
        <v>265</v>
      </c>
      <c r="M8" s="124" t="s">
        <v>266</v>
      </c>
      <c r="N8" s="124" t="s">
        <v>473</v>
      </c>
      <c r="O8" s="124" t="s">
        <v>267</v>
      </c>
      <c r="P8" s="124" t="s">
        <v>268</v>
      </c>
    </row>
    <row r="9" spans="2:16" x14ac:dyDescent="0.25">
      <c r="B9" s="51">
        <v>42370</v>
      </c>
      <c r="C9" s="46">
        <v>0.44791666666666669</v>
      </c>
      <c r="D9" s="711" t="s">
        <v>128</v>
      </c>
      <c r="E9" s="47" t="s">
        <v>382</v>
      </c>
      <c r="F9" s="48" t="s">
        <v>280</v>
      </c>
      <c r="G9" s="47" t="s">
        <v>444</v>
      </c>
      <c r="H9" s="47" t="s">
        <v>283</v>
      </c>
      <c r="I9" s="47" t="s">
        <v>271</v>
      </c>
      <c r="J9" s="47" t="s">
        <v>275</v>
      </c>
      <c r="K9" s="47" t="s">
        <v>303</v>
      </c>
      <c r="L9" s="47" t="s">
        <v>272</v>
      </c>
      <c r="M9" s="47" t="s">
        <v>368</v>
      </c>
      <c r="N9" s="48">
        <v>530</v>
      </c>
      <c r="O9" s="48">
        <v>98</v>
      </c>
      <c r="P9" s="52">
        <v>84</v>
      </c>
    </row>
    <row r="10" spans="2:16" x14ac:dyDescent="0.25">
      <c r="B10" s="51">
        <v>42371</v>
      </c>
      <c r="C10" s="46">
        <v>0.4152777777777778</v>
      </c>
      <c r="D10" s="711" t="s">
        <v>129</v>
      </c>
      <c r="E10" s="47" t="s">
        <v>318</v>
      </c>
      <c r="F10" s="48" t="s">
        <v>280</v>
      </c>
      <c r="G10" s="47" t="s">
        <v>276</v>
      </c>
      <c r="H10" s="47" t="s">
        <v>292</v>
      </c>
      <c r="I10" s="47" t="s">
        <v>271</v>
      </c>
      <c r="J10" s="47" t="s">
        <v>307</v>
      </c>
      <c r="K10" s="47" t="s">
        <v>303</v>
      </c>
      <c r="L10" s="47" t="s">
        <v>270</v>
      </c>
      <c r="M10" s="47" t="s">
        <v>368</v>
      </c>
      <c r="N10" s="48">
        <v>2100</v>
      </c>
      <c r="O10" s="48">
        <v>355</v>
      </c>
      <c r="P10" s="52">
        <v>220</v>
      </c>
    </row>
    <row r="11" spans="2:16" x14ac:dyDescent="0.25">
      <c r="B11" s="51">
        <v>42372</v>
      </c>
      <c r="C11" s="46">
        <v>0.41666666666666669</v>
      </c>
      <c r="D11" s="711" t="s">
        <v>130</v>
      </c>
      <c r="E11" s="47" t="s">
        <v>382</v>
      </c>
      <c r="F11" s="48" t="s">
        <v>280</v>
      </c>
      <c r="G11" s="47" t="s">
        <v>444</v>
      </c>
      <c r="H11" s="47" t="s">
        <v>283</v>
      </c>
      <c r="I11" s="47" t="s">
        <v>271</v>
      </c>
      <c r="J11" s="47" t="s">
        <v>307</v>
      </c>
      <c r="K11" s="47" t="s">
        <v>303</v>
      </c>
      <c r="L11" s="47" t="s">
        <v>270</v>
      </c>
      <c r="M11" s="47" t="s">
        <v>375</v>
      </c>
      <c r="N11" s="48">
        <v>152</v>
      </c>
      <c r="O11" s="48">
        <v>56</v>
      </c>
      <c r="P11" s="52">
        <v>37</v>
      </c>
    </row>
    <row r="12" spans="2:16" x14ac:dyDescent="0.25">
      <c r="B12" s="51">
        <v>42373</v>
      </c>
      <c r="C12" s="46">
        <v>0.38194444444444442</v>
      </c>
      <c r="D12" s="711" t="s">
        <v>131</v>
      </c>
      <c r="E12" s="118" t="s">
        <v>478</v>
      </c>
      <c r="F12" s="48" t="s">
        <v>280</v>
      </c>
      <c r="G12" s="47" t="s">
        <v>444</v>
      </c>
      <c r="H12" s="47" t="s">
        <v>283</v>
      </c>
      <c r="I12" s="47" t="s">
        <v>271</v>
      </c>
      <c r="J12" s="47" t="s">
        <v>275</v>
      </c>
      <c r="K12" s="47" t="s">
        <v>303</v>
      </c>
      <c r="L12" s="47" t="s">
        <v>272</v>
      </c>
      <c r="M12" s="47" t="s">
        <v>272</v>
      </c>
      <c r="N12" s="48">
        <v>3500</v>
      </c>
      <c r="O12" s="48">
        <v>114</v>
      </c>
      <c r="P12" s="52">
        <v>160</v>
      </c>
    </row>
    <row r="13" spans="2:16" x14ac:dyDescent="0.25">
      <c r="B13" s="51">
        <v>42373</v>
      </c>
      <c r="C13" s="46">
        <v>0.79166666666666663</v>
      </c>
      <c r="D13" s="711" t="s">
        <v>132</v>
      </c>
      <c r="E13" s="47" t="s">
        <v>339</v>
      </c>
      <c r="F13" s="48" t="s">
        <v>280</v>
      </c>
      <c r="G13" s="47" t="s">
        <v>276</v>
      </c>
      <c r="H13" s="47" t="s">
        <v>292</v>
      </c>
      <c r="I13" s="47" t="s">
        <v>271</v>
      </c>
      <c r="J13" s="47" t="s">
        <v>366</v>
      </c>
      <c r="K13" s="47" t="s">
        <v>303</v>
      </c>
      <c r="L13" s="47" t="s">
        <v>270</v>
      </c>
      <c r="M13" s="47" t="s">
        <v>371</v>
      </c>
      <c r="N13" s="48">
        <v>938</v>
      </c>
      <c r="O13" s="48">
        <v>72</v>
      </c>
      <c r="P13" s="52">
        <v>67</v>
      </c>
    </row>
    <row r="14" spans="2:16" x14ac:dyDescent="0.25">
      <c r="B14" s="51">
        <v>42374</v>
      </c>
      <c r="C14" s="46">
        <v>0.41180555555555554</v>
      </c>
      <c r="D14" s="711" t="s">
        <v>133</v>
      </c>
      <c r="E14" s="47" t="s">
        <v>334</v>
      </c>
      <c r="F14" s="48" t="s">
        <v>280</v>
      </c>
      <c r="G14" s="47" t="s">
        <v>444</v>
      </c>
      <c r="H14" s="47" t="s">
        <v>283</v>
      </c>
      <c r="I14" s="47" t="s">
        <v>271</v>
      </c>
      <c r="J14" s="47" t="s">
        <v>468</v>
      </c>
      <c r="K14" s="47" t="s">
        <v>303</v>
      </c>
      <c r="L14" s="47" t="s">
        <v>272</v>
      </c>
      <c r="M14" s="47" t="s">
        <v>368</v>
      </c>
      <c r="N14" s="48">
        <v>175</v>
      </c>
      <c r="O14" s="48">
        <v>39</v>
      </c>
      <c r="P14" s="52">
        <v>34</v>
      </c>
    </row>
    <row r="15" spans="2:16" x14ac:dyDescent="0.25">
      <c r="B15" s="51">
        <v>42374</v>
      </c>
      <c r="C15" s="46">
        <v>0.79166666666666663</v>
      </c>
      <c r="D15" s="711" t="s">
        <v>134</v>
      </c>
      <c r="E15" s="47" t="s">
        <v>257</v>
      </c>
      <c r="F15" s="48" t="s">
        <v>280</v>
      </c>
      <c r="G15" s="47" t="s">
        <v>276</v>
      </c>
      <c r="H15" s="47" t="s">
        <v>292</v>
      </c>
      <c r="I15" s="47" t="s">
        <v>271</v>
      </c>
      <c r="J15" s="47" t="s">
        <v>279</v>
      </c>
      <c r="K15" s="47" t="s">
        <v>303</v>
      </c>
      <c r="L15" s="47" t="s">
        <v>270</v>
      </c>
      <c r="M15" s="47" t="s">
        <v>375</v>
      </c>
      <c r="N15" s="48">
        <v>1100</v>
      </c>
      <c r="O15" s="48">
        <v>80</v>
      </c>
      <c r="P15" s="52">
        <v>119</v>
      </c>
    </row>
    <row r="16" spans="2:16" x14ac:dyDescent="0.25">
      <c r="B16" s="51">
        <v>42375</v>
      </c>
      <c r="C16" s="46">
        <v>0.41666666666666669</v>
      </c>
      <c r="D16" s="711" t="s">
        <v>135</v>
      </c>
      <c r="E16" s="47" t="s">
        <v>383</v>
      </c>
      <c r="F16" s="48" t="s">
        <v>335</v>
      </c>
      <c r="G16" s="47" t="s">
        <v>276</v>
      </c>
      <c r="H16" s="47" t="s">
        <v>315</v>
      </c>
      <c r="I16" s="47" t="s">
        <v>271</v>
      </c>
      <c r="J16" s="47" t="s">
        <v>291</v>
      </c>
      <c r="K16" s="47" t="s">
        <v>303</v>
      </c>
      <c r="L16" s="47" t="s">
        <v>270</v>
      </c>
      <c r="M16" s="47" t="s">
        <v>375</v>
      </c>
      <c r="N16" s="48">
        <v>224</v>
      </c>
      <c r="O16" s="48">
        <v>80</v>
      </c>
      <c r="P16" s="52">
        <v>32</v>
      </c>
    </row>
    <row r="17" spans="2:16" x14ac:dyDescent="0.25">
      <c r="B17" s="51">
        <v>42376</v>
      </c>
      <c r="C17" s="46">
        <v>0.4152777777777778</v>
      </c>
      <c r="D17" s="711" t="s">
        <v>136</v>
      </c>
      <c r="E17" s="47" t="s">
        <v>287</v>
      </c>
      <c r="F17" s="48" t="s">
        <v>280</v>
      </c>
      <c r="G17" s="47" t="s">
        <v>276</v>
      </c>
      <c r="H17" s="47" t="s">
        <v>292</v>
      </c>
      <c r="I17" s="47" t="s">
        <v>271</v>
      </c>
      <c r="J17" s="47" t="s">
        <v>307</v>
      </c>
      <c r="K17" s="47" t="s">
        <v>303</v>
      </c>
      <c r="L17" s="47" t="s">
        <v>270</v>
      </c>
      <c r="M17" s="47" t="s">
        <v>371</v>
      </c>
      <c r="N17" s="48">
        <v>479</v>
      </c>
      <c r="O17" s="48">
        <v>81</v>
      </c>
      <c r="P17" s="52">
        <v>147</v>
      </c>
    </row>
    <row r="18" spans="2:16" x14ac:dyDescent="0.25">
      <c r="B18" s="51">
        <v>42376</v>
      </c>
      <c r="C18" s="46">
        <v>0.64861111111111114</v>
      </c>
      <c r="D18" s="711" t="s">
        <v>137</v>
      </c>
      <c r="E18" s="47" t="s">
        <v>259</v>
      </c>
      <c r="F18" s="48" t="s">
        <v>280</v>
      </c>
      <c r="G18" s="47" t="s">
        <v>444</v>
      </c>
      <c r="H18" s="47" t="s">
        <v>292</v>
      </c>
      <c r="I18" s="47" t="s">
        <v>271</v>
      </c>
      <c r="J18" s="47" t="s">
        <v>307</v>
      </c>
      <c r="K18" s="47" t="s">
        <v>303</v>
      </c>
      <c r="L18" s="47" t="s">
        <v>272</v>
      </c>
      <c r="M18" s="47" t="s">
        <v>373</v>
      </c>
      <c r="N18" s="48">
        <v>246</v>
      </c>
      <c r="O18" s="48">
        <v>82</v>
      </c>
      <c r="P18" s="52">
        <v>25</v>
      </c>
    </row>
    <row r="19" spans="2:16" x14ac:dyDescent="0.25">
      <c r="B19" s="51">
        <v>42376</v>
      </c>
      <c r="C19" s="46">
        <v>0.79166666666666663</v>
      </c>
      <c r="D19" s="711" t="s">
        <v>138</v>
      </c>
      <c r="E19" s="47" t="s">
        <v>318</v>
      </c>
      <c r="F19" s="48" t="s">
        <v>280</v>
      </c>
      <c r="G19" s="47" t="s">
        <v>276</v>
      </c>
      <c r="H19" s="47" t="s">
        <v>292</v>
      </c>
      <c r="I19" s="47" t="s">
        <v>271</v>
      </c>
      <c r="J19" s="47" t="s">
        <v>468</v>
      </c>
      <c r="K19" s="47" t="s">
        <v>303</v>
      </c>
      <c r="L19" s="47" t="s">
        <v>270</v>
      </c>
      <c r="M19" s="47" t="s">
        <v>375</v>
      </c>
      <c r="N19" s="48">
        <v>351</v>
      </c>
      <c r="O19" s="48">
        <v>44</v>
      </c>
      <c r="P19" s="52">
        <v>61</v>
      </c>
    </row>
    <row r="20" spans="2:16" x14ac:dyDescent="0.25">
      <c r="B20" s="51">
        <v>42377</v>
      </c>
      <c r="C20" s="46">
        <v>0.79305555555555562</v>
      </c>
      <c r="D20" s="711" t="s">
        <v>139</v>
      </c>
      <c r="E20" s="47" t="s">
        <v>257</v>
      </c>
      <c r="F20" s="48" t="s">
        <v>280</v>
      </c>
      <c r="G20" s="47" t="s">
        <v>276</v>
      </c>
      <c r="H20" s="47" t="s">
        <v>313</v>
      </c>
      <c r="I20" s="47" t="s">
        <v>271</v>
      </c>
      <c r="J20" s="47" t="s">
        <v>279</v>
      </c>
      <c r="K20" s="47" t="s">
        <v>303</v>
      </c>
      <c r="L20" s="47" t="s">
        <v>270</v>
      </c>
      <c r="M20" s="47" t="s">
        <v>375</v>
      </c>
      <c r="N20" s="48">
        <v>285</v>
      </c>
      <c r="O20" s="48">
        <v>23</v>
      </c>
      <c r="P20" s="52">
        <v>35</v>
      </c>
    </row>
    <row r="21" spans="2:16" x14ac:dyDescent="0.25">
      <c r="B21" s="51">
        <v>42378</v>
      </c>
      <c r="C21" s="46">
        <v>0.7895833333333333</v>
      </c>
      <c r="D21" s="711" t="s">
        <v>140</v>
      </c>
      <c r="E21" s="47" t="s">
        <v>298</v>
      </c>
      <c r="F21" s="48" t="s">
        <v>280</v>
      </c>
      <c r="G21" s="47" t="s">
        <v>276</v>
      </c>
      <c r="H21" s="47" t="s">
        <v>292</v>
      </c>
      <c r="I21" s="47" t="s">
        <v>296</v>
      </c>
      <c r="J21" s="47" t="s">
        <v>278</v>
      </c>
      <c r="K21" s="47" t="s">
        <v>303</v>
      </c>
      <c r="L21" s="47" t="s">
        <v>272</v>
      </c>
      <c r="M21" s="47" t="s">
        <v>272</v>
      </c>
      <c r="N21" s="48">
        <v>1232</v>
      </c>
      <c r="O21" s="48">
        <v>91</v>
      </c>
      <c r="P21" s="52">
        <v>489</v>
      </c>
    </row>
    <row r="22" spans="2:16" x14ac:dyDescent="0.25">
      <c r="B22" s="51">
        <v>42378</v>
      </c>
      <c r="C22" s="46">
        <v>0.79166666666666663</v>
      </c>
      <c r="D22" s="711" t="s">
        <v>141</v>
      </c>
      <c r="E22" s="47" t="s">
        <v>337</v>
      </c>
      <c r="F22" s="48" t="s">
        <v>338</v>
      </c>
      <c r="G22" s="47" t="s">
        <v>276</v>
      </c>
      <c r="H22" s="47" t="s">
        <v>292</v>
      </c>
      <c r="I22" s="47" t="s">
        <v>296</v>
      </c>
      <c r="J22" s="47" t="s">
        <v>466</v>
      </c>
      <c r="K22" s="47" t="s">
        <v>303</v>
      </c>
      <c r="L22" s="47" t="s">
        <v>272</v>
      </c>
      <c r="M22" s="47" t="s">
        <v>368</v>
      </c>
      <c r="N22" s="48">
        <v>100</v>
      </c>
      <c r="O22" s="48">
        <v>43</v>
      </c>
      <c r="P22" s="52">
        <v>28</v>
      </c>
    </row>
    <row r="23" spans="2:16" x14ac:dyDescent="0.25">
      <c r="B23" s="51">
        <v>42379</v>
      </c>
      <c r="C23" s="46">
        <v>0.41875000000000001</v>
      </c>
      <c r="D23" s="711" t="s">
        <v>142</v>
      </c>
      <c r="E23" s="47" t="s">
        <v>256</v>
      </c>
      <c r="F23" s="48" t="s">
        <v>280</v>
      </c>
      <c r="G23" s="47" t="s">
        <v>276</v>
      </c>
      <c r="H23" s="47" t="s">
        <v>313</v>
      </c>
      <c r="I23" s="47" t="s">
        <v>296</v>
      </c>
      <c r="J23" s="47" t="s">
        <v>466</v>
      </c>
      <c r="K23" s="47" t="s">
        <v>303</v>
      </c>
      <c r="L23" s="47" t="s">
        <v>272</v>
      </c>
      <c r="M23" s="47" t="s">
        <v>368</v>
      </c>
      <c r="N23" s="48">
        <v>421</v>
      </c>
      <c r="O23" s="48">
        <v>106</v>
      </c>
      <c r="P23" s="52">
        <v>105</v>
      </c>
    </row>
    <row r="24" spans="2:16" x14ac:dyDescent="0.25">
      <c r="B24" s="51">
        <v>42380</v>
      </c>
      <c r="C24" s="46">
        <v>0.45</v>
      </c>
      <c r="D24" s="711" t="s">
        <v>143</v>
      </c>
      <c r="E24" s="47" t="s">
        <v>256</v>
      </c>
      <c r="F24" s="48" t="s">
        <v>280</v>
      </c>
      <c r="G24" s="47" t="s">
        <v>276</v>
      </c>
      <c r="H24" s="47" t="s">
        <v>313</v>
      </c>
      <c r="I24" s="47" t="s">
        <v>324</v>
      </c>
      <c r="J24" s="47" t="s">
        <v>307</v>
      </c>
      <c r="K24" s="47" t="s">
        <v>303</v>
      </c>
      <c r="L24" s="47" t="s">
        <v>272</v>
      </c>
      <c r="M24" s="47" t="s">
        <v>375</v>
      </c>
      <c r="N24" s="48">
        <v>345</v>
      </c>
      <c r="O24" s="48">
        <v>56</v>
      </c>
      <c r="P24" s="52">
        <v>42</v>
      </c>
    </row>
    <row r="25" spans="2:16" x14ac:dyDescent="0.25">
      <c r="B25" s="51">
        <v>42380</v>
      </c>
      <c r="C25" s="46">
        <v>0.70694444444444438</v>
      </c>
      <c r="D25" s="711" t="s">
        <v>144</v>
      </c>
      <c r="E25" s="118" t="s">
        <v>478</v>
      </c>
      <c r="F25" s="48" t="s">
        <v>280</v>
      </c>
      <c r="G25" s="47" t="s">
        <v>444</v>
      </c>
      <c r="H25" s="47" t="s">
        <v>283</v>
      </c>
      <c r="I25" s="47" t="s">
        <v>271</v>
      </c>
      <c r="J25" s="47" t="s">
        <v>307</v>
      </c>
      <c r="K25" s="47" t="s">
        <v>303</v>
      </c>
      <c r="L25" s="47" t="s">
        <v>272</v>
      </c>
      <c r="M25" s="47" t="s">
        <v>272</v>
      </c>
      <c r="N25" s="48">
        <v>1000</v>
      </c>
      <c r="O25" s="48">
        <v>53</v>
      </c>
      <c r="P25" s="52">
        <v>58</v>
      </c>
    </row>
    <row r="26" spans="2:16" x14ac:dyDescent="0.25">
      <c r="B26" s="51">
        <v>42381</v>
      </c>
      <c r="C26" s="46">
        <v>0.44444444444444442</v>
      </c>
      <c r="D26" s="711" t="s">
        <v>145</v>
      </c>
      <c r="E26" s="47" t="s">
        <v>339</v>
      </c>
      <c r="F26" s="48" t="s">
        <v>280</v>
      </c>
      <c r="G26" s="47" t="s">
        <v>445</v>
      </c>
      <c r="H26" s="47" t="s">
        <v>292</v>
      </c>
      <c r="I26" s="47" t="s">
        <v>360</v>
      </c>
      <c r="J26" s="47" t="s">
        <v>307</v>
      </c>
      <c r="K26" s="47" t="s">
        <v>303</v>
      </c>
      <c r="L26" s="47" t="s">
        <v>270</v>
      </c>
      <c r="M26" s="47" t="s">
        <v>375</v>
      </c>
      <c r="N26" s="48">
        <v>311</v>
      </c>
      <c r="O26" s="48">
        <v>51</v>
      </c>
      <c r="P26" s="52">
        <v>39</v>
      </c>
    </row>
    <row r="27" spans="2:16" x14ac:dyDescent="0.25">
      <c r="B27" s="51">
        <v>42381</v>
      </c>
      <c r="C27" s="46">
        <v>0.79166666666666663</v>
      </c>
      <c r="D27" s="711" t="s">
        <v>146</v>
      </c>
      <c r="E27" s="47" t="s">
        <v>256</v>
      </c>
      <c r="F27" s="48" t="s">
        <v>280</v>
      </c>
      <c r="G27" s="47" t="s">
        <v>445</v>
      </c>
      <c r="H27" s="47" t="s">
        <v>292</v>
      </c>
      <c r="I27" s="47" t="s">
        <v>360</v>
      </c>
      <c r="J27" s="47" t="s">
        <v>291</v>
      </c>
      <c r="K27" s="47" t="s">
        <v>303</v>
      </c>
      <c r="L27" s="47" t="s">
        <v>270</v>
      </c>
      <c r="M27" s="47" t="s">
        <v>375</v>
      </c>
      <c r="N27" s="48">
        <v>403</v>
      </c>
      <c r="O27" s="48">
        <v>74</v>
      </c>
      <c r="P27" s="52">
        <v>74</v>
      </c>
    </row>
    <row r="28" spans="2:16" x14ac:dyDescent="0.25">
      <c r="B28" s="51">
        <v>42382</v>
      </c>
      <c r="C28" s="46">
        <v>0.79236111111111107</v>
      </c>
      <c r="D28" s="711" t="s">
        <v>147</v>
      </c>
      <c r="E28" s="47" t="s">
        <v>321</v>
      </c>
      <c r="F28" s="48" t="s">
        <v>280</v>
      </c>
      <c r="G28" s="47" t="s">
        <v>276</v>
      </c>
      <c r="H28" s="47" t="s">
        <v>313</v>
      </c>
      <c r="I28" s="47" t="s">
        <v>271</v>
      </c>
      <c r="J28" s="47" t="s">
        <v>307</v>
      </c>
      <c r="K28" s="47" t="s">
        <v>303</v>
      </c>
      <c r="L28" s="47" t="s">
        <v>270</v>
      </c>
      <c r="M28" s="47" t="s">
        <v>371</v>
      </c>
      <c r="N28" s="48">
        <v>106</v>
      </c>
      <c r="O28" s="48">
        <v>44</v>
      </c>
      <c r="P28" s="52">
        <v>29</v>
      </c>
    </row>
    <row r="29" spans="2:16" x14ac:dyDescent="0.25">
      <c r="B29" s="51">
        <v>42383</v>
      </c>
      <c r="C29" s="46">
        <v>0.70833333333333337</v>
      </c>
      <c r="D29" s="711" t="s">
        <v>148</v>
      </c>
      <c r="E29" s="47" t="s">
        <v>254</v>
      </c>
      <c r="F29" s="48" t="s">
        <v>280</v>
      </c>
      <c r="G29" s="47" t="s">
        <v>276</v>
      </c>
      <c r="H29" s="47" t="s">
        <v>293</v>
      </c>
      <c r="I29" s="47" t="s">
        <v>271</v>
      </c>
      <c r="J29" s="47" t="s">
        <v>366</v>
      </c>
      <c r="K29" s="47" t="s">
        <v>303</v>
      </c>
      <c r="L29" s="47" t="s">
        <v>270</v>
      </c>
      <c r="M29" s="47" t="s">
        <v>375</v>
      </c>
      <c r="N29" s="48">
        <v>274</v>
      </c>
      <c r="O29" s="48">
        <v>108</v>
      </c>
      <c r="P29" s="52">
        <v>61</v>
      </c>
    </row>
    <row r="30" spans="2:16" x14ac:dyDescent="0.25">
      <c r="B30" s="51">
        <v>42383</v>
      </c>
      <c r="C30" s="46">
        <v>0.83333333333333337</v>
      </c>
      <c r="D30" s="711" t="s">
        <v>149</v>
      </c>
      <c r="E30" s="118" t="s">
        <v>478</v>
      </c>
      <c r="F30" s="49" t="s">
        <v>280</v>
      </c>
      <c r="G30" s="47" t="s">
        <v>444</v>
      </c>
      <c r="H30" s="47" t="s">
        <v>283</v>
      </c>
      <c r="I30" s="47" t="s">
        <v>271</v>
      </c>
      <c r="J30" s="47" t="s">
        <v>274</v>
      </c>
      <c r="K30" s="47" t="s">
        <v>303</v>
      </c>
      <c r="L30" s="47" t="s">
        <v>272</v>
      </c>
      <c r="M30" s="47" t="s">
        <v>272</v>
      </c>
      <c r="N30" s="48">
        <v>1100</v>
      </c>
      <c r="O30" s="48">
        <v>22</v>
      </c>
      <c r="P30" s="52">
        <v>40</v>
      </c>
    </row>
    <row r="31" spans="2:16" x14ac:dyDescent="0.25">
      <c r="B31" s="51">
        <v>42384</v>
      </c>
      <c r="C31" s="46">
        <v>0.70694444444444438</v>
      </c>
      <c r="D31" s="711" t="s">
        <v>150</v>
      </c>
      <c r="E31" s="47" t="s">
        <v>340</v>
      </c>
      <c r="F31" s="48" t="s">
        <v>280</v>
      </c>
      <c r="G31" s="47" t="s">
        <v>276</v>
      </c>
      <c r="H31" s="47" t="s">
        <v>273</v>
      </c>
      <c r="I31" s="47" t="s">
        <v>324</v>
      </c>
      <c r="J31" s="47" t="s">
        <v>307</v>
      </c>
      <c r="K31" s="47" t="s">
        <v>303</v>
      </c>
      <c r="L31" s="47" t="s">
        <v>270</v>
      </c>
      <c r="M31" s="47" t="s">
        <v>375</v>
      </c>
      <c r="N31" s="48">
        <v>238</v>
      </c>
      <c r="O31" s="48">
        <v>34</v>
      </c>
      <c r="P31" s="52">
        <v>26</v>
      </c>
    </row>
    <row r="32" spans="2:16" x14ac:dyDescent="0.25">
      <c r="B32" s="51">
        <v>42384</v>
      </c>
      <c r="C32" s="46">
        <v>0.84027777777777779</v>
      </c>
      <c r="D32" s="711" t="s">
        <v>151</v>
      </c>
      <c r="E32" s="47" t="s">
        <v>382</v>
      </c>
      <c r="F32" s="48" t="s">
        <v>280</v>
      </c>
      <c r="G32" s="47" t="s">
        <v>444</v>
      </c>
      <c r="H32" s="47" t="s">
        <v>283</v>
      </c>
      <c r="I32" s="47" t="s">
        <v>469</v>
      </c>
      <c r="J32" s="47" t="s">
        <v>470</v>
      </c>
      <c r="K32" s="47" t="s">
        <v>303</v>
      </c>
      <c r="L32" s="47" t="s">
        <v>270</v>
      </c>
      <c r="M32" s="47" t="s">
        <v>381</v>
      </c>
      <c r="N32" s="48">
        <v>1400</v>
      </c>
      <c r="O32" s="48">
        <v>87</v>
      </c>
      <c r="P32" s="52">
        <v>0</v>
      </c>
    </row>
    <row r="33" spans="2:16" x14ac:dyDescent="0.25">
      <c r="B33" s="51">
        <v>42385</v>
      </c>
      <c r="C33" s="46">
        <v>0.41875000000000001</v>
      </c>
      <c r="D33" s="711" t="s">
        <v>152</v>
      </c>
      <c r="E33" s="47" t="s">
        <v>318</v>
      </c>
      <c r="F33" s="48" t="s">
        <v>280</v>
      </c>
      <c r="G33" s="47" t="s">
        <v>276</v>
      </c>
      <c r="H33" s="47" t="s">
        <v>313</v>
      </c>
      <c r="I33" s="47" t="s">
        <v>296</v>
      </c>
      <c r="J33" s="47" t="s">
        <v>466</v>
      </c>
      <c r="K33" s="47" t="s">
        <v>303</v>
      </c>
      <c r="L33" s="47" t="s">
        <v>272</v>
      </c>
      <c r="M33" s="47" t="s">
        <v>368</v>
      </c>
      <c r="N33" s="48">
        <v>514</v>
      </c>
      <c r="O33" s="48">
        <v>135</v>
      </c>
      <c r="P33" s="52">
        <v>184</v>
      </c>
    </row>
    <row r="34" spans="2:16" x14ac:dyDescent="0.25">
      <c r="B34" s="51">
        <v>42386</v>
      </c>
      <c r="C34" s="46">
        <v>0.83333333333333337</v>
      </c>
      <c r="D34" s="711" t="s">
        <v>153</v>
      </c>
      <c r="E34" s="47" t="s">
        <v>256</v>
      </c>
      <c r="F34" s="48" t="s">
        <v>280</v>
      </c>
      <c r="G34" s="47" t="s">
        <v>276</v>
      </c>
      <c r="H34" s="47" t="s">
        <v>292</v>
      </c>
      <c r="I34" s="47" t="s">
        <v>271</v>
      </c>
      <c r="J34" s="47" t="s">
        <v>468</v>
      </c>
      <c r="K34" s="47" t="s">
        <v>303</v>
      </c>
      <c r="L34" s="47" t="s">
        <v>270</v>
      </c>
      <c r="M34" s="47" t="s">
        <v>371</v>
      </c>
      <c r="N34" s="48">
        <v>192</v>
      </c>
      <c r="O34" s="48">
        <v>33</v>
      </c>
      <c r="P34" s="52">
        <v>26</v>
      </c>
    </row>
    <row r="35" spans="2:16" x14ac:dyDescent="0.25">
      <c r="B35" s="51">
        <v>42387</v>
      </c>
      <c r="C35" s="46">
        <v>0.41666666666666669</v>
      </c>
      <c r="D35" s="711" t="s">
        <v>154</v>
      </c>
      <c r="E35" s="47" t="s">
        <v>256</v>
      </c>
      <c r="F35" s="48" t="s">
        <v>280</v>
      </c>
      <c r="G35" s="47" t="s">
        <v>276</v>
      </c>
      <c r="H35" s="47" t="s">
        <v>292</v>
      </c>
      <c r="I35" s="47" t="s">
        <v>271</v>
      </c>
      <c r="J35" s="47" t="s">
        <v>275</v>
      </c>
      <c r="K35" s="47" t="s">
        <v>303</v>
      </c>
      <c r="L35" s="47" t="s">
        <v>270</v>
      </c>
      <c r="M35" s="47" t="s">
        <v>371</v>
      </c>
      <c r="N35" s="48">
        <v>995</v>
      </c>
      <c r="O35" s="48">
        <v>64</v>
      </c>
      <c r="P35" s="52">
        <v>86</v>
      </c>
    </row>
    <row r="36" spans="2:16" x14ac:dyDescent="0.25">
      <c r="B36" s="51">
        <v>42387</v>
      </c>
      <c r="C36" s="46">
        <v>0.66875000000000007</v>
      </c>
      <c r="D36" s="711" t="s">
        <v>155</v>
      </c>
      <c r="E36" s="47" t="s">
        <v>337</v>
      </c>
      <c r="F36" s="47" t="s">
        <v>280</v>
      </c>
      <c r="G36" s="47" t="s">
        <v>276</v>
      </c>
      <c r="H36" s="47" t="s">
        <v>292</v>
      </c>
      <c r="I36" s="47" t="s">
        <v>271</v>
      </c>
      <c r="J36" s="47" t="s">
        <v>306</v>
      </c>
      <c r="K36" s="47" t="s">
        <v>303</v>
      </c>
      <c r="L36" s="47" t="s">
        <v>270</v>
      </c>
      <c r="M36" s="47" t="s">
        <v>375</v>
      </c>
      <c r="N36" s="48">
        <v>106</v>
      </c>
      <c r="O36" s="48">
        <v>34</v>
      </c>
      <c r="P36" s="52">
        <v>16</v>
      </c>
    </row>
    <row r="37" spans="2:16" x14ac:dyDescent="0.25">
      <c r="B37" s="51">
        <v>42388</v>
      </c>
      <c r="C37" s="46">
        <v>0.41180555555555554</v>
      </c>
      <c r="D37" s="711" t="s">
        <v>156</v>
      </c>
      <c r="E37" s="47" t="s">
        <v>384</v>
      </c>
      <c r="F37" s="48" t="s">
        <v>341</v>
      </c>
      <c r="G37" s="47" t="s">
        <v>276</v>
      </c>
      <c r="H37" s="47" t="s">
        <v>273</v>
      </c>
      <c r="I37" s="47" t="s">
        <v>271</v>
      </c>
      <c r="J37" s="47" t="s">
        <v>291</v>
      </c>
      <c r="K37" s="47" t="s">
        <v>303</v>
      </c>
      <c r="L37" s="47" t="s">
        <v>270</v>
      </c>
      <c r="M37" s="47" t="s">
        <v>371</v>
      </c>
      <c r="N37" s="48">
        <v>129</v>
      </c>
      <c r="O37" s="48">
        <v>84</v>
      </c>
      <c r="P37" s="52">
        <v>32</v>
      </c>
    </row>
    <row r="38" spans="2:16" x14ac:dyDescent="0.25">
      <c r="B38" s="51">
        <v>42388</v>
      </c>
      <c r="C38" s="46">
        <v>0.62708333333333333</v>
      </c>
      <c r="D38" s="711" t="s">
        <v>157</v>
      </c>
      <c r="E38" s="47" t="s">
        <v>384</v>
      </c>
      <c r="F38" s="48" t="s">
        <v>341</v>
      </c>
      <c r="G38" s="47" t="s">
        <v>276</v>
      </c>
      <c r="H38" s="47" t="s">
        <v>273</v>
      </c>
      <c r="I38" s="47" t="s">
        <v>271</v>
      </c>
      <c r="J38" s="47" t="s">
        <v>376</v>
      </c>
      <c r="K38" s="47" t="s">
        <v>342</v>
      </c>
      <c r="L38" s="47" t="s">
        <v>270</v>
      </c>
      <c r="M38" s="47" t="s">
        <v>371</v>
      </c>
      <c r="N38" s="48">
        <v>82</v>
      </c>
      <c r="O38" s="48">
        <v>33</v>
      </c>
      <c r="P38" s="52">
        <v>65</v>
      </c>
    </row>
    <row r="39" spans="2:16" x14ac:dyDescent="0.25">
      <c r="B39" s="51">
        <v>42388</v>
      </c>
      <c r="C39" s="46">
        <v>0.79166666666666663</v>
      </c>
      <c r="D39" s="711" t="s">
        <v>158</v>
      </c>
      <c r="E39" s="47" t="s">
        <v>256</v>
      </c>
      <c r="F39" s="48" t="s">
        <v>280</v>
      </c>
      <c r="G39" s="47" t="s">
        <v>276</v>
      </c>
      <c r="H39" s="47" t="s">
        <v>292</v>
      </c>
      <c r="I39" s="47" t="s">
        <v>271</v>
      </c>
      <c r="J39" s="47" t="s">
        <v>471</v>
      </c>
      <c r="K39" s="47" t="s">
        <v>303</v>
      </c>
      <c r="L39" s="47" t="s">
        <v>270</v>
      </c>
      <c r="M39" s="47" t="s">
        <v>371</v>
      </c>
      <c r="N39" s="48">
        <v>145</v>
      </c>
      <c r="O39" s="48">
        <v>22</v>
      </c>
      <c r="P39" s="52">
        <v>16</v>
      </c>
    </row>
    <row r="40" spans="2:16" x14ac:dyDescent="0.25">
      <c r="B40" s="51">
        <v>42388</v>
      </c>
      <c r="C40" s="46">
        <v>0.85138888888888886</v>
      </c>
      <c r="D40" s="711" t="s">
        <v>159</v>
      </c>
      <c r="E40" s="47" t="s">
        <v>384</v>
      </c>
      <c r="F40" s="48" t="s">
        <v>341</v>
      </c>
      <c r="G40" s="47" t="s">
        <v>276</v>
      </c>
      <c r="H40" s="47" t="s">
        <v>273</v>
      </c>
      <c r="I40" s="47" t="s">
        <v>296</v>
      </c>
      <c r="J40" s="47" t="s">
        <v>466</v>
      </c>
      <c r="K40" s="47" t="s">
        <v>342</v>
      </c>
      <c r="L40" s="47" t="s">
        <v>272</v>
      </c>
      <c r="M40" s="47" t="s">
        <v>272</v>
      </c>
      <c r="N40" s="48">
        <v>352</v>
      </c>
      <c r="O40" s="48">
        <v>54</v>
      </c>
      <c r="P40" s="52">
        <v>89</v>
      </c>
    </row>
    <row r="41" spans="2:16" x14ac:dyDescent="0.25">
      <c r="B41" s="51">
        <v>42389</v>
      </c>
      <c r="C41" s="46">
        <v>0.44027777777777777</v>
      </c>
      <c r="D41" s="711" t="s">
        <v>160</v>
      </c>
      <c r="E41" s="47" t="s">
        <v>256</v>
      </c>
      <c r="F41" s="48" t="s">
        <v>280</v>
      </c>
      <c r="G41" s="47" t="s">
        <v>276</v>
      </c>
      <c r="H41" s="47" t="s">
        <v>292</v>
      </c>
      <c r="I41" s="47" t="s">
        <v>271</v>
      </c>
      <c r="J41" s="47" t="s">
        <v>472</v>
      </c>
      <c r="K41" s="47" t="s">
        <v>303</v>
      </c>
      <c r="L41" s="47" t="s">
        <v>270</v>
      </c>
      <c r="M41" s="47" t="s">
        <v>272</v>
      </c>
      <c r="N41" s="48">
        <v>921</v>
      </c>
      <c r="O41" s="48">
        <v>42</v>
      </c>
      <c r="P41" s="52">
        <v>47</v>
      </c>
    </row>
    <row r="42" spans="2:16" x14ac:dyDescent="0.25">
      <c r="B42" s="51">
        <v>42389</v>
      </c>
      <c r="C42" s="46">
        <v>0.70833333333333337</v>
      </c>
      <c r="D42" s="711" t="s">
        <v>161</v>
      </c>
      <c r="E42" s="47" t="s">
        <v>312</v>
      </c>
      <c r="F42" s="48" t="s">
        <v>343</v>
      </c>
      <c r="G42" s="47" t="s">
        <v>276</v>
      </c>
      <c r="H42" s="47" t="s">
        <v>313</v>
      </c>
      <c r="I42" s="47" t="s">
        <v>300</v>
      </c>
      <c r="J42" s="47" t="s">
        <v>277</v>
      </c>
      <c r="K42" s="47" t="s">
        <v>303</v>
      </c>
      <c r="L42" s="47" t="s">
        <v>270</v>
      </c>
      <c r="M42" s="47" t="s">
        <v>371</v>
      </c>
      <c r="N42" s="48">
        <v>120</v>
      </c>
      <c r="O42" s="48">
        <v>30</v>
      </c>
      <c r="P42" s="52">
        <v>23</v>
      </c>
    </row>
    <row r="43" spans="2:16" x14ac:dyDescent="0.25">
      <c r="B43" s="51">
        <v>42389</v>
      </c>
      <c r="C43" s="46">
        <v>0.8354166666666667</v>
      </c>
      <c r="D43" s="711" t="s">
        <v>162</v>
      </c>
      <c r="E43" s="47" t="s">
        <v>257</v>
      </c>
      <c r="F43" s="48" t="s">
        <v>286</v>
      </c>
      <c r="G43" s="47" t="s">
        <v>445</v>
      </c>
      <c r="H43" s="47" t="s">
        <v>313</v>
      </c>
      <c r="I43" s="47" t="s">
        <v>324</v>
      </c>
      <c r="J43" s="47" t="s">
        <v>279</v>
      </c>
      <c r="K43" s="47" t="s">
        <v>303</v>
      </c>
      <c r="L43" s="47" t="s">
        <v>270</v>
      </c>
      <c r="M43" s="47" t="s">
        <v>375</v>
      </c>
      <c r="N43" s="48">
        <v>2500</v>
      </c>
      <c r="O43" s="48">
        <v>178</v>
      </c>
      <c r="P43" s="52">
        <v>701</v>
      </c>
    </row>
    <row r="44" spans="2:16" x14ac:dyDescent="0.25">
      <c r="B44" s="61">
        <v>42390</v>
      </c>
      <c r="C44" s="58">
        <v>0.43888888888888888</v>
      </c>
      <c r="D44" s="718" t="s">
        <v>163</v>
      </c>
      <c r="E44" s="74" t="s">
        <v>287</v>
      </c>
      <c r="F44" s="59" t="s">
        <v>286</v>
      </c>
      <c r="G44" s="74" t="s">
        <v>276</v>
      </c>
      <c r="H44" s="74" t="s">
        <v>313</v>
      </c>
      <c r="I44" s="74" t="s">
        <v>271</v>
      </c>
      <c r="J44" s="74" t="s">
        <v>306</v>
      </c>
      <c r="K44" s="74" t="s">
        <v>303</v>
      </c>
      <c r="L44" s="74" t="s">
        <v>270</v>
      </c>
      <c r="M44" s="74" t="s">
        <v>375</v>
      </c>
      <c r="N44" s="48">
        <v>254</v>
      </c>
      <c r="O44" s="59">
        <v>81</v>
      </c>
      <c r="P44" s="60">
        <v>50</v>
      </c>
    </row>
    <row r="45" spans="2:16" x14ac:dyDescent="0.25">
      <c r="B45" s="51">
        <v>42390</v>
      </c>
      <c r="C45" s="46">
        <v>0.7090277777777777</v>
      </c>
      <c r="D45" s="711" t="s">
        <v>164</v>
      </c>
      <c r="E45" s="47" t="s">
        <v>478</v>
      </c>
      <c r="F45" s="48" t="s">
        <v>280</v>
      </c>
      <c r="G45" s="47" t="s">
        <v>444</v>
      </c>
      <c r="H45" s="47" t="s">
        <v>283</v>
      </c>
      <c r="I45" s="47" t="s">
        <v>296</v>
      </c>
      <c r="J45" s="47" t="s">
        <v>376</v>
      </c>
      <c r="K45" s="47" t="s">
        <v>303</v>
      </c>
      <c r="L45" s="47" t="s">
        <v>270</v>
      </c>
      <c r="M45" s="47" t="s">
        <v>381</v>
      </c>
      <c r="N45" s="48">
        <v>96</v>
      </c>
      <c r="O45" s="48">
        <v>15</v>
      </c>
      <c r="P45" s="52">
        <v>22</v>
      </c>
    </row>
    <row r="46" spans="2:16" x14ac:dyDescent="0.25">
      <c r="B46" s="51">
        <v>42390</v>
      </c>
      <c r="C46" s="46">
        <v>0.82986111111111116</v>
      </c>
      <c r="D46" s="711" t="s">
        <v>165</v>
      </c>
      <c r="E46" s="47" t="s">
        <v>364</v>
      </c>
      <c r="F46" s="47" t="s">
        <v>280</v>
      </c>
      <c r="G46" s="47" t="s">
        <v>276</v>
      </c>
      <c r="H46" s="47" t="s">
        <v>292</v>
      </c>
      <c r="I46" s="47" t="s">
        <v>296</v>
      </c>
      <c r="J46" s="47" t="s">
        <v>466</v>
      </c>
      <c r="K46" s="47" t="s">
        <v>303</v>
      </c>
      <c r="L46" s="47" t="s">
        <v>272</v>
      </c>
      <c r="M46" s="47" t="s">
        <v>272</v>
      </c>
      <c r="N46" s="48">
        <v>461</v>
      </c>
      <c r="O46" s="48">
        <v>79</v>
      </c>
      <c r="P46" s="52">
        <v>101</v>
      </c>
    </row>
    <row r="47" spans="2:16" x14ac:dyDescent="0.25">
      <c r="B47" s="51">
        <v>42391</v>
      </c>
      <c r="C47" s="46">
        <v>0.41805555555555557</v>
      </c>
      <c r="D47" s="711" t="s">
        <v>166</v>
      </c>
      <c r="E47" s="47" t="s">
        <v>256</v>
      </c>
      <c r="F47" s="47" t="s">
        <v>280</v>
      </c>
      <c r="G47" s="47" t="s">
        <v>276</v>
      </c>
      <c r="H47" s="47" t="s">
        <v>292</v>
      </c>
      <c r="I47" s="47" t="s">
        <v>324</v>
      </c>
      <c r="J47" s="47" t="s">
        <v>376</v>
      </c>
      <c r="K47" s="47" t="s">
        <v>303</v>
      </c>
      <c r="L47" s="47" t="s">
        <v>270</v>
      </c>
      <c r="M47" s="47" t="s">
        <v>375</v>
      </c>
      <c r="N47" s="48">
        <v>484</v>
      </c>
      <c r="O47" s="48">
        <v>68</v>
      </c>
      <c r="P47" s="52">
        <v>46</v>
      </c>
    </row>
    <row r="48" spans="2:16" x14ac:dyDescent="0.25">
      <c r="B48" s="51">
        <v>42391</v>
      </c>
      <c r="C48" s="46">
        <v>0.79166666666666663</v>
      </c>
      <c r="D48" s="711" t="s">
        <v>167</v>
      </c>
      <c r="E48" s="47" t="s">
        <v>344</v>
      </c>
      <c r="F48" s="47" t="s">
        <v>280</v>
      </c>
      <c r="G48" s="47" t="s">
        <v>276</v>
      </c>
      <c r="H48" s="47" t="s">
        <v>292</v>
      </c>
      <c r="I48" s="47" t="s">
        <v>324</v>
      </c>
      <c r="J48" s="47" t="s">
        <v>274</v>
      </c>
      <c r="K48" s="47" t="s">
        <v>303</v>
      </c>
      <c r="L48" s="47" t="s">
        <v>270</v>
      </c>
      <c r="M48" s="47" t="s">
        <v>375</v>
      </c>
      <c r="N48" s="48">
        <v>2400</v>
      </c>
      <c r="O48" s="48">
        <v>132</v>
      </c>
      <c r="P48" s="52">
        <v>490</v>
      </c>
    </row>
    <row r="49" spans="2:16" x14ac:dyDescent="0.25">
      <c r="B49" s="51">
        <v>42392</v>
      </c>
      <c r="C49" s="46">
        <v>0.4145833333333333</v>
      </c>
      <c r="D49" s="711" t="s">
        <v>168</v>
      </c>
      <c r="E49" s="47" t="s">
        <v>256</v>
      </c>
      <c r="F49" s="47" t="s">
        <v>280</v>
      </c>
      <c r="G49" s="47" t="s">
        <v>276</v>
      </c>
      <c r="H49" s="47" t="s">
        <v>292</v>
      </c>
      <c r="I49" s="47" t="s">
        <v>296</v>
      </c>
      <c r="J49" s="47" t="s">
        <v>466</v>
      </c>
      <c r="K49" s="47" t="s">
        <v>303</v>
      </c>
      <c r="L49" s="47" t="s">
        <v>272</v>
      </c>
      <c r="M49" s="47" t="s">
        <v>371</v>
      </c>
      <c r="N49" s="48">
        <v>701</v>
      </c>
      <c r="O49" s="48">
        <v>108</v>
      </c>
      <c r="P49" s="52">
        <v>205</v>
      </c>
    </row>
    <row r="50" spans="2:16" x14ac:dyDescent="0.25">
      <c r="B50" s="51">
        <v>42392</v>
      </c>
      <c r="C50" s="46">
        <v>0.79166666666666663</v>
      </c>
      <c r="D50" s="711" t="s">
        <v>169</v>
      </c>
      <c r="E50" s="47" t="s">
        <v>340</v>
      </c>
      <c r="F50" s="47" t="s">
        <v>280</v>
      </c>
      <c r="G50" s="47" t="s">
        <v>387</v>
      </c>
      <c r="H50" s="47" t="s">
        <v>362</v>
      </c>
      <c r="I50" s="47" t="s">
        <v>327</v>
      </c>
      <c r="J50" s="47" t="s">
        <v>307</v>
      </c>
      <c r="K50" s="47" t="s">
        <v>303</v>
      </c>
      <c r="L50" s="47" t="s">
        <v>270</v>
      </c>
      <c r="M50" s="47" t="s">
        <v>272</v>
      </c>
      <c r="N50" s="48">
        <v>193</v>
      </c>
      <c r="O50" s="48">
        <v>37</v>
      </c>
      <c r="P50" s="52">
        <v>37</v>
      </c>
    </row>
    <row r="51" spans="2:16" x14ac:dyDescent="0.25">
      <c r="B51" s="51">
        <v>42393</v>
      </c>
      <c r="C51" s="46">
        <v>0.4152777777777778</v>
      </c>
      <c r="D51" s="711" t="s">
        <v>170</v>
      </c>
      <c r="E51" s="47" t="s">
        <v>256</v>
      </c>
      <c r="F51" s="47" t="s">
        <v>280</v>
      </c>
      <c r="G51" s="47" t="s">
        <v>444</v>
      </c>
      <c r="H51" s="47" t="s">
        <v>283</v>
      </c>
      <c r="I51" s="47" t="s">
        <v>271</v>
      </c>
      <c r="J51" s="47" t="s">
        <v>307</v>
      </c>
      <c r="K51" s="47" t="s">
        <v>303</v>
      </c>
      <c r="L51" s="47" t="s">
        <v>270</v>
      </c>
      <c r="M51" s="47" t="s">
        <v>375</v>
      </c>
      <c r="N51" s="48">
        <v>98</v>
      </c>
      <c r="O51" s="48">
        <v>25</v>
      </c>
      <c r="P51" s="52">
        <v>17</v>
      </c>
    </row>
    <row r="52" spans="2:16" x14ac:dyDescent="0.25">
      <c r="B52" s="51">
        <v>42393</v>
      </c>
      <c r="C52" s="46">
        <v>0.71111111111111114</v>
      </c>
      <c r="D52" s="711" t="s">
        <v>171</v>
      </c>
      <c r="E52" s="47" t="s">
        <v>337</v>
      </c>
      <c r="F52" s="47" t="s">
        <v>280</v>
      </c>
      <c r="G52" s="47" t="s">
        <v>444</v>
      </c>
      <c r="H52" s="47" t="s">
        <v>283</v>
      </c>
      <c r="I52" s="47" t="s">
        <v>271</v>
      </c>
      <c r="J52" s="47" t="s">
        <v>307</v>
      </c>
      <c r="K52" s="47" t="s">
        <v>303</v>
      </c>
      <c r="L52" s="47" t="s">
        <v>270</v>
      </c>
      <c r="M52" s="47" t="s">
        <v>375</v>
      </c>
      <c r="N52" s="48">
        <v>23</v>
      </c>
      <c r="O52" s="48">
        <v>11</v>
      </c>
      <c r="P52" s="52">
        <v>3</v>
      </c>
    </row>
    <row r="53" spans="2:16" x14ac:dyDescent="0.25">
      <c r="B53" s="51">
        <v>42394</v>
      </c>
      <c r="C53" s="46">
        <v>0.41666666666666669</v>
      </c>
      <c r="D53" s="711" t="s">
        <v>172</v>
      </c>
      <c r="E53" s="47" t="s">
        <v>256</v>
      </c>
      <c r="F53" s="47" t="s">
        <v>280</v>
      </c>
      <c r="G53" s="47" t="s">
        <v>276</v>
      </c>
      <c r="H53" s="47" t="s">
        <v>292</v>
      </c>
      <c r="I53" s="47" t="s">
        <v>271</v>
      </c>
      <c r="J53" s="47" t="s">
        <v>366</v>
      </c>
      <c r="K53" s="47" t="s">
        <v>303</v>
      </c>
      <c r="L53" s="47" t="s">
        <v>270</v>
      </c>
      <c r="M53" s="47" t="s">
        <v>375</v>
      </c>
      <c r="N53" s="48">
        <v>264</v>
      </c>
      <c r="O53" s="48">
        <v>50</v>
      </c>
      <c r="P53" s="52">
        <v>22</v>
      </c>
    </row>
    <row r="54" spans="2:16" x14ac:dyDescent="0.25">
      <c r="B54" s="51">
        <v>42394</v>
      </c>
      <c r="C54" s="46">
        <v>0.66527777777777775</v>
      </c>
      <c r="D54" s="711" t="s">
        <v>173</v>
      </c>
      <c r="E54" s="47" t="s">
        <v>312</v>
      </c>
      <c r="F54" s="47" t="s">
        <v>280</v>
      </c>
      <c r="G54" s="47" t="s">
        <v>276</v>
      </c>
      <c r="H54" s="47" t="s">
        <v>313</v>
      </c>
      <c r="I54" s="47" t="s">
        <v>271</v>
      </c>
      <c r="J54" s="47" t="s">
        <v>376</v>
      </c>
      <c r="K54" s="47" t="s">
        <v>303</v>
      </c>
      <c r="L54" s="47" t="s">
        <v>270</v>
      </c>
      <c r="M54" s="47" t="s">
        <v>375</v>
      </c>
      <c r="N54" s="48">
        <v>695</v>
      </c>
      <c r="O54" s="48">
        <v>79</v>
      </c>
      <c r="P54" s="52">
        <v>115</v>
      </c>
    </row>
    <row r="55" spans="2:16" x14ac:dyDescent="0.25">
      <c r="B55" s="51">
        <v>42395</v>
      </c>
      <c r="C55" s="46">
        <v>0.42638888888888887</v>
      </c>
      <c r="D55" s="711" t="s">
        <v>174</v>
      </c>
      <c r="E55" s="47" t="s">
        <v>254</v>
      </c>
      <c r="F55" s="47" t="s">
        <v>280</v>
      </c>
      <c r="G55" s="47" t="s">
        <v>276</v>
      </c>
      <c r="H55" s="47" t="s">
        <v>313</v>
      </c>
      <c r="I55" s="47" t="s">
        <v>296</v>
      </c>
      <c r="J55" s="47" t="s">
        <v>466</v>
      </c>
      <c r="K55" s="47" t="s">
        <v>303</v>
      </c>
      <c r="L55" s="47" t="s">
        <v>270</v>
      </c>
      <c r="M55" s="47" t="s">
        <v>375</v>
      </c>
      <c r="N55" s="48">
        <v>743</v>
      </c>
      <c r="O55" s="48">
        <v>216</v>
      </c>
      <c r="P55" s="52">
        <v>285</v>
      </c>
    </row>
    <row r="56" spans="2:16" x14ac:dyDescent="0.25">
      <c r="B56" s="51">
        <v>42395</v>
      </c>
      <c r="C56" s="46">
        <v>0.73125000000000007</v>
      </c>
      <c r="D56" s="711" t="s">
        <v>175</v>
      </c>
      <c r="E56" s="47" t="s">
        <v>295</v>
      </c>
      <c r="F56" s="47" t="s">
        <v>280</v>
      </c>
      <c r="G56" s="47" t="s">
        <v>276</v>
      </c>
      <c r="H56" s="47" t="s">
        <v>292</v>
      </c>
      <c r="I56" s="47" t="s">
        <v>271</v>
      </c>
      <c r="J56" s="47" t="s">
        <v>307</v>
      </c>
      <c r="K56" s="47" t="s">
        <v>303</v>
      </c>
      <c r="L56" s="47" t="s">
        <v>270</v>
      </c>
      <c r="M56" s="47" t="s">
        <v>375</v>
      </c>
      <c r="N56" s="48">
        <v>66</v>
      </c>
      <c r="O56" s="48">
        <v>41</v>
      </c>
      <c r="P56" s="52">
        <v>26</v>
      </c>
    </row>
    <row r="57" spans="2:16" x14ac:dyDescent="0.25">
      <c r="B57" s="51">
        <v>42396</v>
      </c>
      <c r="C57" s="46">
        <v>0.41666666666666669</v>
      </c>
      <c r="D57" s="711" t="s">
        <v>176</v>
      </c>
      <c r="E57" s="47" t="s">
        <v>328</v>
      </c>
      <c r="F57" s="47" t="s">
        <v>280</v>
      </c>
      <c r="G57" s="47" t="s">
        <v>446</v>
      </c>
      <c r="H57" s="47" t="s">
        <v>283</v>
      </c>
      <c r="I57" s="47" t="s">
        <v>324</v>
      </c>
      <c r="J57" s="47" t="s">
        <v>307</v>
      </c>
      <c r="K57" s="47" t="s">
        <v>303</v>
      </c>
      <c r="L57" s="47" t="s">
        <v>270</v>
      </c>
      <c r="M57" s="47" t="s">
        <v>374</v>
      </c>
      <c r="N57" s="48">
        <v>9500</v>
      </c>
      <c r="O57" s="48">
        <v>213</v>
      </c>
      <c r="P57" s="52">
        <v>7613</v>
      </c>
    </row>
    <row r="58" spans="2:16" x14ac:dyDescent="0.25">
      <c r="B58" s="51">
        <v>42396</v>
      </c>
      <c r="C58" s="46">
        <v>0.71180555555555547</v>
      </c>
      <c r="D58" s="711" t="s">
        <v>177</v>
      </c>
      <c r="E58" s="47" t="s">
        <v>314</v>
      </c>
      <c r="F58" s="47" t="s">
        <v>346</v>
      </c>
      <c r="G58" s="47" t="s">
        <v>276</v>
      </c>
      <c r="H58" s="47" t="s">
        <v>313</v>
      </c>
      <c r="I58" s="47" t="s">
        <v>324</v>
      </c>
      <c r="J58" s="47" t="s">
        <v>376</v>
      </c>
      <c r="K58" s="47" t="s">
        <v>303</v>
      </c>
      <c r="L58" s="47" t="s">
        <v>270</v>
      </c>
      <c r="M58" s="47" t="s">
        <v>378</v>
      </c>
      <c r="N58" s="48">
        <v>154</v>
      </c>
      <c r="O58" s="48">
        <v>41</v>
      </c>
      <c r="P58" s="52">
        <v>26</v>
      </c>
    </row>
    <row r="59" spans="2:16" x14ac:dyDescent="0.25">
      <c r="B59" s="51">
        <v>42397</v>
      </c>
      <c r="C59" s="46">
        <v>0.4152777777777778</v>
      </c>
      <c r="D59" s="711" t="s">
        <v>178</v>
      </c>
      <c r="E59" s="47" t="s">
        <v>321</v>
      </c>
      <c r="F59" s="47" t="s">
        <v>280</v>
      </c>
      <c r="G59" s="47" t="s">
        <v>276</v>
      </c>
      <c r="H59" s="47" t="s">
        <v>292</v>
      </c>
      <c r="I59" s="47" t="s">
        <v>271</v>
      </c>
      <c r="J59" s="47" t="s">
        <v>307</v>
      </c>
      <c r="K59" s="47" t="s">
        <v>303</v>
      </c>
      <c r="L59" s="47" t="s">
        <v>270</v>
      </c>
      <c r="M59" s="47" t="s">
        <v>371</v>
      </c>
      <c r="N59" s="48">
        <v>312</v>
      </c>
      <c r="O59" s="48">
        <v>38</v>
      </c>
      <c r="P59" s="52">
        <v>53</v>
      </c>
    </row>
    <row r="60" spans="2:16" x14ac:dyDescent="0.25">
      <c r="B60" s="51">
        <v>42397</v>
      </c>
      <c r="C60" s="46">
        <v>0.79375000000000007</v>
      </c>
      <c r="D60" s="711" t="s">
        <v>179</v>
      </c>
      <c r="E60" s="47" t="s">
        <v>344</v>
      </c>
      <c r="F60" s="47" t="s">
        <v>280</v>
      </c>
      <c r="G60" s="47" t="s">
        <v>276</v>
      </c>
      <c r="H60" s="47" t="s">
        <v>292</v>
      </c>
      <c r="I60" s="47" t="s">
        <v>271</v>
      </c>
      <c r="J60" s="47" t="s">
        <v>376</v>
      </c>
      <c r="K60" s="47" t="s">
        <v>303</v>
      </c>
      <c r="L60" s="47" t="s">
        <v>270</v>
      </c>
      <c r="M60" s="47" t="s">
        <v>375</v>
      </c>
      <c r="N60" s="48">
        <v>238</v>
      </c>
      <c r="O60" s="48">
        <v>29</v>
      </c>
      <c r="P60" s="52">
        <v>34</v>
      </c>
    </row>
    <row r="61" spans="2:16" x14ac:dyDescent="0.25">
      <c r="B61" s="51">
        <v>42398</v>
      </c>
      <c r="C61" s="46">
        <v>0.4236111111111111</v>
      </c>
      <c r="D61" s="711" t="s">
        <v>180</v>
      </c>
      <c r="E61" s="47" t="s">
        <v>256</v>
      </c>
      <c r="F61" s="47" t="s">
        <v>280</v>
      </c>
      <c r="G61" s="47" t="s">
        <v>445</v>
      </c>
      <c r="H61" s="47" t="s">
        <v>283</v>
      </c>
      <c r="I61" s="47" t="s">
        <v>324</v>
      </c>
      <c r="J61" s="47" t="s">
        <v>376</v>
      </c>
      <c r="K61" s="47" t="s">
        <v>303</v>
      </c>
      <c r="L61" s="47" t="s">
        <v>270</v>
      </c>
      <c r="M61" s="47" t="s">
        <v>375</v>
      </c>
      <c r="N61" s="48">
        <v>592</v>
      </c>
      <c r="O61" s="48">
        <v>46</v>
      </c>
      <c r="P61" s="52">
        <v>131</v>
      </c>
    </row>
    <row r="62" spans="2:16" x14ac:dyDescent="0.25">
      <c r="B62" s="51">
        <v>42398</v>
      </c>
      <c r="C62" s="46">
        <v>0.58124999999999993</v>
      </c>
      <c r="D62" s="711" t="s">
        <v>181</v>
      </c>
      <c r="E62" s="47" t="s">
        <v>314</v>
      </c>
      <c r="F62" s="47" t="s">
        <v>346</v>
      </c>
      <c r="G62" s="47" t="s">
        <v>276</v>
      </c>
      <c r="H62" s="47" t="s">
        <v>313</v>
      </c>
      <c r="I62" s="47" t="s">
        <v>324</v>
      </c>
      <c r="J62" s="47" t="s">
        <v>376</v>
      </c>
      <c r="K62" s="47" t="s">
        <v>303</v>
      </c>
      <c r="L62" s="47" t="s">
        <v>270</v>
      </c>
      <c r="M62" s="47" t="s">
        <v>378</v>
      </c>
      <c r="N62" s="48">
        <v>50</v>
      </c>
      <c r="O62" s="48">
        <v>11</v>
      </c>
      <c r="P62" s="52">
        <v>4</v>
      </c>
    </row>
    <row r="63" spans="2:16" x14ac:dyDescent="0.25">
      <c r="B63" s="51">
        <v>42398</v>
      </c>
      <c r="C63" s="46">
        <v>0.66041666666666665</v>
      </c>
      <c r="D63" s="711" t="s">
        <v>182</v>
      </c>
      <c r="E63" s="47" t="s">
        <v>309</v>
      </c>
      <c r="F63" s="47" t="s">
        <v>280</v>
      </c>
      <c r="G63" s="47" t="s">
        <v>276</v>
      </c>
      <c r="H63" s="47" t="s">
        <v>283</v>
      </c>
      <c r="I63" s="47" t="s">
        <v>333</v>
      </c>
      <c r="J63" s="47" t="s">
        <v>332</v>
      </c>
      <c r="K63" s="47" t="s">
        <v>303</v>
      </c>
      <c r="L63" s="47" t="s">
        <v>270</v>
      </c>
      <c r="M63" s="47" t="s">
        <v>272</v>
      </c>
      <c r="N63" s="48">
        <v>428</v>
      </c>
      <c r="O63" s="48">
        <v>30</v>
      </c>
      <c r="P63" s="52">
        <v>103</v>
      </c>
    </row>
    <row r="64" spans="2:16" x14ac:dyDescent="0.25">
      <c r="B64" s="51">
        <v>42398</v>
      </c>
      <c r="C64" s="46">
        <v>0.7895833333333333</v>
      </c>
      <c r="D64" s="711" t="s">
        <v>183</v>
      </c>
      <c r="E64" s="47" t="s">
        <v>309</v>
      </c>
      <c r="F64" s="47" t="s">
        <v>280</v>
      </c>
      <c r="G64" s="47" t="s">
        <v>276</v>
      </c>
      <c r="H64" s="47" t="s">
        <v>283</v>
      </c>
      <c r="I64" s="47" t="s">
        <v>296</v>
      </c>
      <c r="J64" s="47" t="s">
        <v>466</v>
      </c>
      <c r="K64" s="47" t="s">
        <v>303</v>
      </c>
      <c r="L64" s="47" t="s">
        <v>270</v>
      </c>
      <c r="M64" s="47" t="s">
        <v>375</v>
      </c>
      <c r="N64" s="48">
        <v>3024</v>
      </c>
      <c r="O64" s="48">
        <v>194</v>
      </c>
      <c r="P64" s="52">
        <v>772</v>
      </c>
    </row>
    <row r="65" spans="2:16" x14ac:dyDescent="0.25">
      <c r="B65" s="51">
        <v>42399</v>
      </c>
      <c r="C65" s="46">
        <v>0.41666666666666669</v>
      </c>
      <c r="D65" s="711" t="s">
        <v>184</v>
      </c>
      <c r="E65" s="47" t="s">
        <v>295</v>
      </c>
      <c r="F65" s="47" t="s">
        <v>280</v>
      </c>
      <c r="G65" s="47" t="s">
        <v>276</v>
      </c>
      <c r="H65" s="47" t="s">
        <v>292</v>
      </c>
      <c r="I65" s="47" t="s">
        <v>296</v>
      </c>
      <c r="J65" s="47" t="s">
        <v>466</v>
      </c>
      <c r="K65" s="47" t="s">
        <v>303</v>
      </c>
      <c r="L65" s="47" t="s">
        <v>272</v>
      </c>
      <c r="M65" s="47" t="s">
        <v>368</v>
      </c>
      <c r="N65" s="48">
        <v>333</v>
      </c>
      <c r="O65" s="48">
        <v>58</v>
      </c>
      <c r="P65" s="52">
        <v>80</v>
      </c>
    </row>
    <row r="66" spans="2:16" x14ac:dyDescent="0.25">
      <c r="B66" s="51">
        <v>42400</v>
      </c>
      <c r="C66" s="46">
        <v>0.4152777777777778</v>
      </c>
      <c r="D66" s="711" t="s">
        <v>185</v>
      </c>
      <c r="E66" s="47" t="s">
        <v>256</v>
      </c>
      <c r="F66" s="47" t="s">
        <v>280</v>
      </c>
      <c r="G66" s="47" t="s">
        <v>276</v>
      </c>
      <c r="H66" s="47" t="s">
        <v>292</v>
      </c>
      <c r="I66" s="47" t="s">
        <v>271</v>
      </c>
      <c r="J66" s="47" t="s">
        <v>275</v>
      </c>
      <c r="K66" s="47" t="s">
        <v>303</v>
      </c>
      <c r="L66" s="47" t="s">
        <v>270</v>
      </c>
      <c r="M66" s="47" t="s">
        <v>371</v>
      </c>
      <c r="N66" s="48">
        <v>84</v>
      </c>
      <c r="O66" s="48">
        <v>18</v>
      </c>
      <c r="P66" s="52">
        <v>14</v>
      </c>
    </row>
    <row r="67" spans="2:16" x14ac:dyDescent="0.25">
      <c r="B67" s="61">
        <v>42400</v>
      </c>
      <c r="C67" s="58">
        <v>0.7104166666666667</v>
      </c>
      <c r="D67" s="718" t="s">
        <v>186</v>
      </c>
      <c r="E67" s="73" t="s">
        <v>314</v>
      </c>
      <c r="F67" s="74" t="s">
        <v>346</v>
      </c>
      <c r="G67" s="74" t="s">
        <v>276</v>
      </c>
      <c r="H67" s="74" t="s">
        <v>313</v>
      </c>
      <c r="I67" s="74" t="s">
        <v>271</v>
      </c>
      <c r="J67" s="74" t="s">
        <v>274</v>
      </c>
      <c r="K67" s="74" t="s">
        <v>303</v>
      </c>
      <c r="L67" s="74" t="s">
        <v>270</v>
      </c>
      <c r="M67" s="74" t="s">
        <v>378</v>
      </c>
      <c r="N67" s="59">
        <v>56</v>
      </c>
      <c r="O67" s="59">
        <v>30</v>
      </c>
      <c r="P67" s="60">
        <v>17</v>
      </c>
    </row>
  </sheetData>
  <mergeCells count="1">
    <mergeCell ref="B2:P4"/>
  </mergeCells>
  <hyperlinks>
    <hyperlink ref="D52" r:id="rId1"/>
    <hyperlink ref="D43" r:id="rId2"/>
    <hyperlink ref="D22" r:id="rId3"/>
    <hyperlink ref="D3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9" r:id="rId33"/>
    <hyperlink ref="D40" r:id="rId34"/>
    <hyperlink ref="D41" r:id="rId35"/>
    <hyperlink ref="D42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</hyperlinks>
  <pageMargins left="0.7" right="0.7" top="0.75" bottom="0.75" header="0.3" footer="0.3"/>
  <pageSetup paperSize="9" scale="33" orientation="portrait" r:id="rId60"/>
  <tableParts count="2">
    <tablePart r:id="rId61"/>
    <tablePart r:id="rId6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P68"/>
  <sheetViews>
    <sheetView showGridLines="0" view="pageBreakPreview" topLeftCell="A34" zoomScale="60" zoomScaleNormal="70" workbookViewId="0">
      <selection activeCell="E9" sqref="E9:E68"/>
    </sheetView>
  </sheetViews>
  <sheetFormatPr defaultRowHeight="15" x14ac:dyDescent="0.25"/>
  <cols>
    <col min="2" max="2" width="10.5703125" customWidth="1"/>
    <col min="3" max="3" width="7.140625" bestFit="1" customWidth="1"/>
    <col min="4" max="4" width="13.140625" customWidth="1"/>
    <col min="5" max="5" width="18.7109375" style="3" bestFit="1" customWidth="1"/>
    <col min="6" max="6" width="19.7109375" bestFit="1" customWidth="1"/>
    <col min="7" max="7" width="23.5703125" bestFit="1" customWidth="1"/>
    <col min="8" max="8" width="18.7109375" bestFit="1" customWidth="1"/>
    <col min="9" max="9" width="11.42578125" bestFit="1" customWidth="1"/>
    <col min="10" max="10" width="21.5703125" bestFit="1" customWidth="1"/>
    <col min="11" max="11" width="9.5703125" bestFit="1" customWidth="1"/>
    <col min="12" max="12" width="13.42578125" bestFit="1" customWidth="1"/>
    <col min="13" max="13" width="11.5703125" bestFit="1" customWidth="1"/>
    <col min="14" max="14" width="9.7109375" bestFit="1" customWidth="1"/>
    <col min="15" max="15" width="15.7109375" bestFit="1" customWidth="1"/>
    <col min="16" max="16" width="13" bestFit="1" customWidth="1"/>
    <col min="17" max="17" width="17.5703125" customWidth="1"/>
    <col min="18" max="18" width="13.42578125" customWidth="1"/>
  </cols>
  <sheetData>
    <row r="1" spans="2:16" ht="15.75" thickBot="1" x14ac:dyDescent="0.3"/>
    <row r="2" spans="2:16" s="5" customFormat="1" ht="15.75" customHeight="1" x14ac:dyDescent="0.25">
      <c r="B2" s="383" t="s">
        <v>488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5"/>
    </row>
    <row r="3" spans="2:16" s="5" customFormat="1" ht="15" customHeight="1" x14ac:dyDescent="0.25">
      <c r="B3" s="386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8"/>
    </row>
    <row r="4" spans="2:16" s="5" customFormat="1" ht="15" customHeight="1" thickBot="1" x14ac:dyDescent="0.3">
      <c r="B4" s="389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1"/>
    </row>
    <row r="6" spans="2:16" x14ac:dyDescent="0.25">
      <c r="E6" s="45"/>
    </row>
    <row r="8" spans="2:16" ht="15.75" thickBot="1" x14ac:dyDescent="0.3">
      <c r="B8" s="53" t="s">
        <v>0</v>
      </c>
      <c r="C8" s="54" t="s">
        <v>1</v>
      </c>
      <c r="D8" s="55" t="s">
        <v>255</v>
      </c>
      <c r="E8" s="54" t="s">
        <v>253</v>
      </c>
      <c r="F8" s="54" t="s">
        <v>260</v>
      </c>
      <c r="G8" s="54" t="s">
        <v>261</v>
      </c>
      <c r="H8" s="54" t="s">
        <v>262</v>
      </c>
      <c r="I8" s="54" t="s">
        <v>263</v>
      </c>
      <c r="J8" s="54" t="s">
        <v>311</v>
      </c>
      <c r="K8" s="54" t="s">
        <v>301</v>
      </c>
      <c r="L8" s="54" t="s">
        <v>265</v>
      </c>
      <c r="M8" s="54" t="s">
        <v>266</v>
      </c>
      <c r="N8" s="54" t="s">
        <v>473</v>
      </c>
      <c r="O8" s="54" t="s">
        <v>267</v>
      </c>
      <c r="P8" s="56" t="s">
        <v>268</v>
      </c>
    </row>
    <row r="9" spans="2:16" ht="15.75" thickTop="1" x14ac:dyDescent="0.25">
      <c r="B9" s="51">
        <v>42401</v>
      </c>
      <c r="C9" s="46">
        <v>0.41875000000000001</v>
      </c>
      <c r="D9" s="711" t="s">
        <v>187</v>
      </c>
      <c r="E9" s="48" t="s">
        <v>256</v>
      </c>
      <c r="F9" s="48" t="s">
        <v>347</v>
      </c>
      <c r="G9" s="48" t="s">
        <v>276</v>
      </c>
      <c r="H9" s="48" t="s">
        <v>292</v>
      </c>
      <c r="I9" s="48" t="s">
        <v>296</v>
      </c>
      <c r="J9" s="48" t="s">
        <v>466</v>
      </c>
      <c r="K9" s="48" t="s">
        <v>303</v>
      </c>
      <c r="L9" s="48" t="s">
        <v>270</v>
      </c>
      <c r="M9" s="48" t="s">
        <v>375</v>
      </c>
      <c r="N9" s="48">
        <v>129</v>
      </c>
      <c r="O9" s="48">
        <v>41</v>
      </c>
      <c r="P9" s="52">
        <v>42</v>
      </c>
    </row>
    <row r="10" spans="2:16" x14ac:dyDescent="0.25">
      <c r="B10" s="50">
        <v>42401</v>
      </c>
      <c r="C10" s="46">
        <v>0.54166666666666663</v>
      </c>
      <c r="D10" s="711" t="s">
        <v>188</v>
      </c>
      <c r="E10" s="48" t="s">
        <v>380</v>
      </c>
      <c r="F10" s="48" t="s">
        <v>280</v>
      </c>
      <c r="G10" s="48" t="s">
        <v>444</v>
      </c>
      <c r="H10" s="48" t="s">
        <v>283</v>
      </c>
      <c r="I10" s="48" t="s">
        <v>271</v>
      </c>
      <c r="J10" s="48" t="s">
        <v>275</v>
      </c>
      <c r="K10" s="48" t="s">
        <v>303</v>
      </c>
      <c r="L10" s="48" t="s">
        <v>272</v>
      </c>
      <c r="M10" s="48" t="s">
        <v>368</v>
      </c>
      <c r="N10" s="48">
        <v>1800</v>
      </c>
      <c r="O10" s="48">
        <v>46</v>
      </c>
      <c r="P10" s="52">
        <v>235</v>
      </c>
    </row>
    <row r="11" spans="2:16" x14ac:dyDescent="0.25">
      <c r="B11" s="51">
        <v>42401</v>
      </c>
      <c r="C11" s="46">
        <v>0.67638888888888893</v>
      </c>
      <c r="D11" s="711" t="s">
        <v>189</v>
      </c>
      <c r="E11" s="48" t="s">
        <v>340</v>
      </c>
      <c r="F11" s="48" t="s">
        <v>280</v>
      </c>
      <c r="G11" s="48" t="s">
        <v>276</v>
      </c>
      <c r="H11" s="48" t="s">
        <v>273</v>
      </c>
      <c r="I11" s="48" t="s">
        <v>271</v>
      </c>
      <c r="J11" s="48" t="s">
        <v>307</v>
      </c>
      <c r="K11" s="48" t="s">
        <v>303</v>
      </c>
      <c r="L11" s="48" t="s">
        <v>270</v>
      </c>
      <c r="M11" s="48" t="s">
        <v>378</v>
      </c>
      <c r="N11" s="48">
        <v>91</v>
      </c>
      <c r="O11" s="48">
        <v>20</v>
      </c>
      <c r="P11" s="52">
        <v>14</v>
      </c>
    </row>
    <row r="12" spans="2:16" x14ac:dyDescent="0.25">
      <c r="B12" s="50">
        <v>42402</v>
      </c>
      <c r="C12" s="46">
        <v>0.79513888888888884</v>
      </c>
      <c r="D12" s="711" t="s">
        <v>192</v>
      </c>
      <c r="E12" s="48" t="s">
        <v>254</v>
      </c>
      <c r="F12" s="48" t="s">
        <v>280</v>
      </c>
      <c r="G12" s="48" t="s">
        <v>276</v>
      </c>
      <c r="H12" s="48" t="s">
        <v>313</v>
      </c>
      <c r="I12" s="48" t="s">
        <v>271</v>
      </c>
      <c r="J12" s="48" t="s">
        <v>366</v>
      </c>
      <c r="K12" s="48" t="s">
        <v>303</v>
      </c>
      <c r="L12" s="48" t="s">
        <v>270</v>
      </c>
      <c r="M12" s="48" t="s">
        <v>375</v>
      </c>
      <c r="N12" s="48">
        <v>373</v>
      </c>
      <c r="O12" s="48">
        <v>91</v>
      </c>
      <c r="P12" s="52">
        <v>61</v>
      </c>
    </row>
    <row r="13" spans="2:16" x14ac:dyDescent="0.25">
      <c r="B13" s="51">
        <v>42402</v>
      </c>
      <c r="C13" s="46">
        <v>0.70624999999999993</v>
      </c>
      <c r="D13" s="711" t="s">
        <v>191</v>
      </c>
      <c r="E13" s="48" t="s">
        <v>254</v>
      </c>
      <c r="F13" s="48" t="s">
        <v>280</v>
      </c>
      <c r="G13" s="48" t="s">
        <v>445</v>
      </c>
      <c r="H13" s="48" t="s">
        <v>283</v>
      </c>
      <c r="I13" s="48" t="s">
        <v>271</v>
      </c>
      <c r="J13" s="48" t="s">
        <v>306</v>
      </c>
      <c r="K13" s="48" t="s">
        <v>303</v>
      </c>
      <c r="L13" s="48" t="s">
        <v>272</v>
      </c>
      <c r="M13" s="48" t="s">
        <v>442</v>
      </c>
      <c r="N13" s="48">
        <v>1400</v>
      </c>
      <c r="O13" s="48">
        <v>59</v>
      </c>
      <c r="P13" s="52">
        <v>136</v>
      </c>
    </row>
    <row r="14" spans="2:16" x14ac:dyDescent="0.25">
      <c r="B14" s="50">
        <v>42402</v>
      </c>
      <c r="C14" s="46">
        <v>0.41388888888888892</v>
      </c>
      <c r="D14" s="711" t="s">
        <v>190</v>
      </c>
      <c r="E14" s="48" t="s">
        <v>314</v>
      </c>
      <c r="F14" s="48" t="s">
        <v>346</v>
      </c>
      <c r="G14" s="48" t="s">
        <v>276</v>
      </c>
      <c r="H14" s="48" t="s">
        <v>273</v>
      </c>
      <c r="I14" s="48" t="s">
        <v>324</v>
      </c>
      <c r="J14" s="48" t="s">
        <v>306</v>
      </c>
      <c r="K14" s="48" t="s">
        <v>303</v>
      </c>
      <c r="L14" s="48" t="s">
        <v>270</v>
      </c>
      <c r="M14" s="48" t="s">
        <v>378</v>
      </c>
      <c r="N14" s="48">
        <v>294</v>
      </c>
      <c r="O14" s="48">
        <v>36</v>
      </c>
      <c r="P14" s="52">
        <v>85</v>
      </c>
    </row>
    <row r="15" spans="2:16" x14ac:dyDescent="0.25">
      <c r="B15" s="51">
        <v>42403</v>
      </c>
      <c r="C15" s="46">
        <v>0.3215277777777778</v>
      </c>
      <c r="D15" s="711" t="s">
        <v>193</v>
      </c>
      <c r="E15" s="48" t="s">
        <v>256</v>
      </c>
      <c r="F15" s="48" t="s">
        <v>348</v>
      </c>
      <c r="G15" s="48" t="s">
        <v>276</v>
      </c>
      <c r="H15" s="48" t="s">
        <v>273</v>
      </c>
      <c r="I15" s="48" t="s">
        <v>324</v>
      </c>
      <c r="J15" s="48" t="s">
        <v>437</v>
      </c>
      <c r="K15" s="48" t="s">
        <v>303</v>
      </c>
      <c r="L15" s="48" t="s">
        <v>270</v>
      </c>
      <c r="M15" s="48" t="s">
        <v>378</v>
      </c>
      <c r="N15" s="48">
        <v>582</v>
      </c>
      <c r="O15" s="48">
        <v>51</v>
      </c>
      <c r="P15" s="52">
        <v>90</v>
      </c>
    </row>
    <row r="16" spans="2:16" x14ac:dyDescent="0.25">
      <c r="B16" s="50">
        <v>42403</v>
      </c>
      <c r="C16" s="46">
        <v>0.7055555555555556</v>
      </c>
      <c r="D16" s="711" t="s">
        <v>195</v>
      </c>
      <c r="E16" s="119" t="s">
        <v>478</v>
      </c>
      <c r="F16" s="48" t="s">
        <v>280</v>
      </c>
      <c r="G16" s="48" t="s">
        <v>444</v>
      </c>
      <c r="H16" s="48" t="s">
        <v>283</v>
      </c>
      <c r="I16" s="48" t="s">
        <v>271</v>
      </c>
      <c r="J16" s="48" t="s">
        <v>275</v>
      </c>
      <c r="K16" s="48" t="s">
        <v>303</v>
      </c>
      <c r="L16" s="48" t="s">
        <v>272</v>
      </c>
      <c r="M16" s="48" t="s">
        <v>368</v>
      </c>
      <c r="N16" s="48">
        <v>702</v>
      </c>
      <c r="O16" s="48">
        <v>124</v>
      </c>
      <c r="P16" s="52">
        <v>48</v>
      </c>
    </row>
    <row r="17" spans="2:16" x14ac:dyDescent="0.25">
      <c r="B17" s="51">
        <v>42403</v>
      </c>
      <c r="C17" s="46">
        <v>0.57638888888888895</v>
      </c>
      <c r="D17" s="711" t="s">
        <v>194</v>
      </c>
      <c r="E17" s="48" t="s">
        <v>314</v>
      </c>
      <c r="F17" s="48" t="s">
        <v>346</v>
      </c>
      <c r="G17" s="48" t="s">
        <v>276</v>
      </c>
      <c r="H17" s="48" t="s">
        <v>313</v>
      </c>
      <c r="I17" s="48" t="s">
        <v>324</v>
      </c>
      <c r="J17" s="48" t="s">
        <v>306</v>
      </c>
      <c r="K17" s="48" t="s">
        <v>303</v>
      </c>
      <c r="L17" s="48" t="s">
        <v>270</v>
      </c>
      <c r="M17" s="48" t="s">
        <v>371</v>
      </c>
      <c r="N17" s="48">
        <v>52</v>
      </c>
      <c r="O17" s="48">
        <v>22</v>
      </c>
      <c r="P17" s="52">
        <v>4</v>
      </c>
    </row>
    <row r="18" spans="2:16" x14ac:dyDescent="0.25">
      <c r="B18" s="50">
        <v>42404</v>
      </c>
      <c r="C18" s="46">
        <v>0.75138888888888899</v>
      </c>
      <c r="D18" s="711" t="s">
        <v>197</v>
      </c>
      <c r="E18" s="48" t="s">
        <v>391</v>
      </c>
      <c r="F18" s="48" t="s">
        <v>280</v>
      </c>
      <c r="G18" s="48" t="s">
        <v>276</v>
      </c>
      <c r="H18" s="48" t="s">
        <v>313</v>
      </c>
      <c r="I18" s="48" t="s">
        <v>296</v>
      </c>
      <c r="J18" s="48" t="s">
        <v>466</v>
      </c>
      <c r="K18" s="48" t="s">
        <v>303</v>
      </c>
      <c r="L18" s="48" t="s">
        <v>270</v>
      </c>
      <c r="M18" s="48" t="s">
        <v>375</v>
      </c>
      <c r="N18" s="48">
        <v>147</v>
      </c>
      <c r="O18" s="48">
        <v>26</v>
      </c>
      <c r="P18" s="52">
        <v>51</v>
      </c>
    </row>
    <row r="19" spans="2:16" x14ac:dyDescent="0.25">
      <c r="B19" s="51">
        <v>42404</v>
      </c>
      <c r="C19" s="46">
        <v>0.41388888888888892</v>
      </c>
      <c r="D19" s="711" t="s">
        <v>196</v>
      </c>
      <c r="E19" s="48" t="s">
        <v>344</v>
      </c>
      <c r="F19" s="48" t="s">
        <v>286</v>
      </c>
      <c r="G19" s="48" t="s">
        <v>446</v>
      </c>
      <c r="H19" s="48" t="s">
        <v>283</v>
      </c>
      <c r="I19" s="48" t="s">
        <v>271</v>
      </c>
      <c r="J19" s="48" t="s">
        <v>306</v>
      </c>
      <c r="K19" s="48" t="s">
        <v>303</v>
      </c>
      <c r="L19" s="48" t="s">
        <v>270</v>
      </c>
      <c r="M19" s="48" t="s">
        <v>374</v>
      </c>
      <c r="N19" s="48">
        <v>521</v>
      </c>
      <c r="O19" s="48">
        <v>53</v>
      </c>
      <c r="P19" s="52">
        <v>211</v>
      </c>
    </row>
    <row r="20" spans="2:16" x14ac:dyDescent="0.25">
      <c r="B20" s="50">
        <v>42405</v>
      </c>
      <c r="C20" s="46">
        <v>0.7895833333333333</v>
      </c>
      <c r="D20" s="711" t="s">
        <v>199</v>
      </c>
      <c r="E20" s="48" t="s">
        <v>256</v>
      </c>
      <c r="F20" s="48" t="s">
        <v>280</v>
      </c>
      <c r="G20" s="48" t="s">
        <v>276</v>
      </c>
      <c r="H20" s="48" t="s">
        <v>292</v>
      </c>
      <c r="I20" s="48" t="s">
        <v>271</v>
      </c>
      <c r="J20" s="48" t="s">
        <v>291</v>
      </c>
      <c r="K20" s="48" t="s">
        <v>303</v>
      </c>
      <c r="L20" s="48" t="s">
        <v>270</v>
      </c>
      <c r="M20" s="48" t="s">
        <v>371</v>
      </c>
      <c r="N20" s="48">
        <v>364</v>
      </c>
      <c r="O20" s="48">
        <v>67</v>
      </c>
      <c r="P20" s="52">
        <v>64</v>
      </c>
    </row>
    <row r="21" spans="2:16" x14ac:dyDescent="0.25">
      <c r="B21" s="51">
        <v>42405</v>
      </c>
      <c r="C21" s="46">
        <v>0.41805555555555557</v>
      </c>
      <c r="D21" s="711" t="s">
        <v>198</v>
      </c>
      <c r="E21" s="48" t="s">
        <v>328</v>
      </c>
      <c r="F21" s="48" t="s">
        <v>280</v>
      </c>
      <c r="G21" s="48" t="s">
        <v>276</v>
      </c>
      <c r="H21" s="48" t="s">
        <v>292</v>
      </c>
      <c r="I21" s="48" t="s">
        <v>296</v>
      </c>
      <c r="J21" s="48" t="s">
        <v>466</v>
      </c>
      <c r="K21" s="48" t="s">
        <v>303</v>
      </c>
      <c r="L21" s="48" t="s">
        <v>272</v>
      </c>
      <c r="M21" s="48" t="s">
        <v>442</v>
      </c>
      <c r="N21" s="48">
        <v>585</v>
      </c>
      <c r="O21" s="48">
        <v>95</v>
      </c>
      <c r="P21" s="52">
        <v>163</v>
      </c>
    </row>
    <row r="22" spans="2:16" x14ac:dyDescent="0.25">
      <c r="B22" s="50">
        <v>42406</v>
      </c>
      <c r="C22" s="46">
        <v>0.41736111111111113</v>
      </c>
      <c r="D22" s="711" t="s">
        <v>200</v>
      </c>
      <c r="E22" s="48" t="s">
        <v>344</v>
      </c>
      <c r="F22" s="48" t="s">
        <v>280</v>
      </c>
      <c r="G22" s="48" t="s">
        <v>276</v>
      </c>
      <c r="H22" s="48" t="s">
        <v>292</v>
      </c>
      <c r="I22" s="48" t="s">
        <v>300</v>
      </c>
      <c r="J22" s="48" t="s">
        <v>279</v>
      </c>
      <c r="K22" s="48" t="s">
        <v>303</v>
      </c>
      <c r="L22" s="48" t="s">
        <v>270</v>
      </c>
      <c r="M22" s="48" t="s">
        <v>371</v>
      </c>
      <c r="N22" s="48">
        <v>101</v>
      </c>
      <c r="O22" s="48">
        <v>27</v>
      </c>
      <c r="P22" s="52">
        <v>37</v>
      </c>
    </row>
    <row r="23" spans="2:16" x14ac:dyDescent="0.25">
      <c r="B23" s="51">
        <v>42407</v>
      </c>
      <c r="C23" s="46">
        <v>0.41666666666666669</v>
      </c>
      <c r="D23" s="711" t="s">
        <v>201</v>
      </c>
      <c r="E23" s="48" t="s">
        <v>256</v>
      </c>
      <c r="F23" s="48" t="s">
        <v>280</v>
      </c>
      <c r="G23" s="48" t="s">
        <v>276</v>
      </c>
      <c r="H23" s="48" t="s">
        <v>292</v>
      </c>
      <c r="I23" s="48" t="s">
        <v>296</v>
      </c>
      <c r="J23" s="48" t="s">
        <v>274</v>
      </c>
      <c r="K23" s="48" t="s">
        <v>303</v>
      </c>
      <c r="L23" s="48" t="s">
        <v>272</v>
      </c>
      <c r="M23" s="48" t="s">
        <v>371</v>
      </c>
      <c r="N23" s="48">
        <v>147</v>
      </c>
      <c r="O23" s="48">
        <v>48</v>
      </c>
      <c r="P23" s="52">
        <v>82</v>
      </c>
    </row>
    <row r="24" spans="2:16" x14ac:dyDescent="0.25">
      <c r="B24" s="50">
        <v>42408</v>
      </c>
      <c r="C24" s="46">
        <v>0.41875000000000001</v>
      </c>
      <c r="D24" s="711" t="s">
        <v>202</v>
      </c>
      <c r="E24" s="48" t="s">
        <v>256</v>
      </c>
      <c r="F24" s="48" t="s">
        <v>280</v>
      </c>
      <c r="G24" s="48" t="s">
        <v>276</v>
      </c>
      <c r="H24" s="48" t="s">
        <v>292</v>
      </c>
      <c r="I24" s="48" t="s">
        <v>271</v>
      </c>
      <c r="J24" s="48" t="s">
        <v>291</v>
      </c>
      <c r="K24" s="48" t="s">
        <v>303</v>
      </c>
      <c r="L24" s="48" t="s">
        <v>270</v>
      </c>
      <c r="M24" s="48" t="s">
        <v>371</v>
      </c>
      <c r="N24" s="48">
        <v>97</v>
      </c>
      <c r="O24" s="48">
        <v>32</v>
      </c>
      <c r="P24" s="52">
        <v>18</v>
      </c>
    </row>
    <row r="25" spans="2:16" x14ac:dyDescent="0.25">
      <c r="B25" s="51">
        <v>42408</v>
      </c>
      <c r="C25" s="46">
        <v>0.70624999999999993</v>
      </c>
      <c r="D25" s="711" t="s">
        <v>204</v>
      </c>
      <c r="E25" s="48" t="s">
        <v>254</v>
      </c>
      <c r="F25" s="48" t="s">
        <v>289</v>
      </c>
      <c r="G25" s="48" t="s">
        <v>276</v>
      </c>
      <c r="H25" s="48" t="s">
        <v>313</v>
      </c>
      <c r="I25" s="48" t="s">
        <v>271</v>
      </c>
      <c r="J25" s="48" t="s">
        <v>366</v>
      </c>
      <c r="K25" s="48" t="s">
        <v>303</v>
      </c>
      <c r="L25" s="48" t="s">
        <v>270</v>
      </c>
      <c r="M25" s="48" t="s">
        <v>375</v>
      </c>
      <c r="N25" s="48">
        <v>205</v>
      </c>
      <c r="O25" s="48">
        <v>76</v>
      </c>
      <c r="P25" s="52">
        <v>47</v>
      </c>
    </row>
    <row r="26" spans="2:16" x14ac:dyDescent="0.25">
      <c r="B26" s="50">
        <v>42409</v>
      </c>
      <c r="C26" s="46">
        <v>0.66666666666666663</v>
      </c>
      <c r="D26" s="711" t="s">
        <v>206</v>
      </c>
      <c r="E26" s="48" t="s">
        <v>337</v>
      </c>
      <c r="F26" s="48" t="s">
        <v>280</v>
      </c>
      <c r="G26" s="48" t="s">
        <v>276</v>
      </c>
      <c r="H26" s="48" t="s">
        <v>292</v>
      </c>
      <c r="I26" s="48" t="s">
        <v>324</v>
      </c>
      <c r="J26" s="48" t="s">
        <v>307</v>
      </c>
      <c r="K26" s="48" t="s">
        <v>303</v>
      </c>
      <c r="L26" s="48" t="s">
        <v>270</v>
      </c>
      <c r="M26" s="48" t="s">
        <v>442</v>
      </c>
      <c r="N26" s="48">
        <v>531</v>
      </c>
      <c r="O26" s="48">
        <v>24</v>
      </c>
      <c r="P26" s="52">
        <v>136</v>
      </c>
    </row>
    <row r="27" spans="2:16" x14ac:dyDescent="0.25">
      <c r="B27" s="51">
        <v>42409</v>
      </c>
      <c r="C27" s="46">
        <v>0.5395833333333333</v>
      </c>
      <c r="D27" s="711" t="s">
        <v>205</v>
      </c>
      <c r="E27" s="48" t="s">
        <v>254</v>
      </c>
      <c r="F27" s="48" t="s">
        <v>280</v>
      </c>
      <c r="G27" s="48" t="s">
        <v>276</v>
      </c>
      <c r="H27" s="48" t="s">
        <v>292</v>
      </c>
      <c r="I27" s="48" t="s">
        <v>296</v>
      </c>
      <c r="J27" s="48" t="s">
        <v>278</v>
      </c>
      <c r="K27" s="48" t="s">
        <v>303</v>
      </c>
      <c r="L27" s="48" t="s">
        <v>272</v>
      </c>
      <c r="M27" s="48" t="s">
        <v>375</v>
      </c>
      <c r="N27" s="48">
        <v>11000</v>
      </c>
      <c r="O27" s="48">
        <v>843</v>
      </c>
      <c r="P27" s="52">
        <v>5358</v>
      </c>
    </row>
    <row r="28" spans="2:16" x14ac:dyDescent="0.25">
      <c r="B28" s="50">
        <v>42409</v>
      </c>
      <c r="C28" s="46">
        <v>0.41666666666666669</v>
      </c>
      <c r="D28" s="711" t="s">
        <v>203</v>
      </c>
      <c r="E28" s="48" t="s">
        <v>321</v>
      </c>
      <c r="F28" s="48" t="s">
        <v>280</v>
      </c>
      <c r="G28" s="48" t="s">
        <v>276</v>
      </c>
      <c r="H28" s="48" t="s">
        <v>292</v>
      </c>
      <c r="I28" s="48" t="s">
        <v>271</v>
      </c>
      <c r="J28" s="48" t="s">
        <v>279</v>
      </c>
      <c r="K28" s="48" t="s">
        <v>303</v>
      </c>
      <c r="L28" s="48" t="s">
        <v>270</v>
      </c>
      <c r="M28" s="48" t="s">
        <v>375</v>
      </c>
      <c r="N28" s="48">
        <v>321</v>
      </c>
      <c r="O28" s="48">
        <v>26</v>
      </c>
      <c r="P28" s="52">
        <v>51</v>
      </c>
    </row>
    <row r="29" spans="2:16" x14ac:dyDescent="0.25">
      <c r="B29" s="51">
        <v>42410</v>
      </c>
      <c r="C29" s="46">
        <v>0.41805555555555557</v>
      </c>
      <c r="D29" s="711" t="s">
        <v>207</v>
      </c>
      <c r="E29" s="48" t="s">
        <v>256</v>
      </c>
      <c r="F29" s="48" t="s">
        <v>280</v>
      </c>
      <c r="G29" s="48" t="s">
        <v>444</v>
      </c>
      <c r="H29" s="48" t="s">
        <v>273</v>
      </c>
      <c r="I29" s="48" t="s">
        <v>296</v>
      </c>
      <c r="J29" s="48" t="s">
        <v>307</v>
      </c>
      <c r="K29" s="48" t="s">
        <v>303</v>
      </c>
      <c r="L29" s="48" t="s">
        <v>270</v>
      </c>
      <c r="M29" s="48" t="s">
        <v>371</v>
      </c>
      <c r="N29" s="48">
        <v>60</v>
      </c>
      <c r="O29" s="48">
        <v>29</v>
      </c>
      <c r="P29" s="52">
        <v>19</v>
      </c>
    </row>
    <row r="30" spans="2:16" x14ac:dyDescent="0.25">
      <c r="B30" s="50">
        <v>42410</v>
      </c>
      <c r="C30" s="46">
        <v>0.63541666666666663</v>
      </c>
      <c r="D30" s="711" t="s">
        <v>208</v>
      </c>
      <c r="E30" s="119" t="s">
        <v>478</v>
      </c>
      <c r="F30" s="48" t="s">
        <v>280</v>
      </c>
      <c r="G30" s="48" t="s">
        <v>444</v>
      </c>
      <c r="H30" s="48" t="s">
        <v>283</v>
      </c>
      <c r="I30" s="48" t="s">
        <v>271</v>
      </c>
      <c r="J30" s="48" t="s">
        <v>307</v>
      </c>
      <c r="K30" s="48" t="s">
        <v>303</v>
      </c>
      <c r="L30" s="48" t="s">
        <v>272</v>
      </c>
      <c r="M30" s="48" t="s">
        <v>368</v>
      </c>
      <c r="N30" s="48">
        <v>1200</v>
      </c>
      <c r="O30" s="48">
        <v>116</v>
      </c>
      <c r="P30" s="52">
        <v>120</v>
      </c>
    </row>
    <row r="31" spans="2:16" x14ac:dyDescent="0.25">
      <c r="B31" s="51">
        <v>42411</v>
      </c>
      <c r="C31" s="46">
        <v>0.4201388888888889</v>
      </c>
      <c r="D31" s="711" t="s">
        <v>209</v>
      </c>
      <c r="E31" s="48" t="s">
        <v>312</v>
      </c>
      <c r="F31" s="48" t="s">
        <v>280</v>
      </c>
      <c r="G31" s="48" t="s">
        <v>445</v>
      </c>
      <c r="H31" s="48" t="s">
        <v>283</v>
      </c>
      <c r="I31" s="48" t="s">
        <v>271</v>
      </c>
      <c r="J31" s="48" t="s">
        <v>366</v>
      </c>
      <c r="K31" s="48" t="s">
        <v>303</v>
      </c>
      <c r="L31" s="48" t="s">
        <v>270</v>
      </c>
      <c r="M31" s="48" t="s">
        <v>442</v>
      </c>
      <c r="N31" s="48">
        <v>1400</v>
      </c>
      <c r="O31" s="48">
        <v>83</v>
      </c>
      <c r="P31" s="52">
        <v>242</v>
      </c>
    </row>
    <row r="32" spans="2:16" x14ac:dyDescent="0.25">
      <c r="B32" s="50">
        <v>42412</v>
      </c>
      <c r="C32" s="46">
        <v>0.58333333333333337</v>
      </c>
      <c r="D32" s="711" t="s">
        <v>211</v>
      </c>
      <c r="E32" s="48" t="s">
        <v>349</v>
      </c>
      <c r="F32" s="48" t="s">
        <v>280</v>
      </c>
      <c r="G32" s="48" t="s">
        <v>276</v>
      </c>
      <c r="H32" s="48" t="s">
        <v>292</v>
      </c>
      <c r="I32" s="48" t="s">
        <v>271</v>
      </c>
      <c r="J32" s="48" t="s">
        <v>307</v>
      </c>
      <c r="K32" s="48" t="s">
        <v>303</v>
      </c>
      <c r="L32" s="48" t="s">
        <v>270</v>
      </c>
      <c r="M32" s="48" t="s">
        <v>371</v>
      </c>
      <c r="N32" s="48">
        <v>708</v>
      </c>
      <c r="O32" s="48">
        <v>32</v>
      </c>
      <c r="P32" s="52">
        <v>83</v>
      </c>
    </row>
    <row r="33" spans="2:16" x14ac:dyDescent="0.25">
      <c r="B33" s="51">
        <v>42412</v>
      </c>
      <c r="C33" s="46">
        <v>0.75</v>
      </c>
      <c r="D33" s="711" t="s">
        <v>212</v>
      </c>
      <c r="E33" s="48" t="s">
        <v>285</v>
      </c>
      <c r="F33" s="48" t="s">
        <v>350</v>
      </c>
      <c r="G33" s="48" t="s">
        <v>276</v>
      </c>
      <c r="H33" s="48" t="s">
        <v>283</v>
      </c>
      <c r="I33" s="48" t="s">
        <v>271</v>
      </c>
      <c r="J33" s="48" t="s">
        <v>366</v>
      </c>
      <c r="K33" s="48" t="s">
        <v>351</v>
      </c>
      <c r="L33" s="48" t="s">
        <v>270</v>
      </c>
      <c r="M33" s="48" t="s">
        <v>332</v>
      </c>
      <c r="N33" s="48">
        <v>345</v>
      </c>
      <c r="O33" s="48">
        <v>37</v>
      </c>
      <c r="P33" s="52">
        <v>36</v>
      </c>
    </row>
    <row r="34" spans="2:16" x14ac:dyDescent="0.25">
      <c r="B34" s="50">
        <v>42412</v>
      </c>
      <c r="C34" s="46">
        <v>0.4375</v>
      </c>
      <c r="D34" s="711" t="s">
        <v>210</v>
      </c>
      <c r="E34" s="48" t="s">
        <v>254</v>
      </c>
      <c r="F34" s="48" t="s">
        <v>289</v>
      </c>
      <c r="G34" s="48" t="s">
        <v>276</v>
      </c>
      <c r="H34" s="48" t="s">
        <v>292</v>
      </c>
      <c r="I34" s="48" t="s">
        <v>296</v>
      </c>
      <c r="J34" s="48" t="s">
        <v>466</v>
      </c>
      <c r="K34" s="48" t="s">
        <v>332</v>
      </c>
      <c r="L34" s="48" t="s">
        <v>270</v>
      </c>
      <c r="M34" s="48" t="s">
        <v>442</v>
      </c>
      <c r="N34" s="48">
        <v>102</v>
      </c>
      <c r="O34" s="48">
        <v>39</v>
      </c>
      <c r="P34" s="52">
        <v>30</v>
      </c>
    </row>
    <row r="35" spans="2:16" x14ac:dyDescent="0.25">
      <c r="B35" s="51">
        <v>42413</v>
      </c>
      <c r="C35" s="46">
        <v>0.41388888888888892</v>
      </c>
      <c r="D35" s="711" t="s">
        <v>213</v>
      </c>
      <c r="E35" s="48" t="s">
        <v>309</v>
      </c>
      <c r="F35" s="48" t="s">
        <v>280</v>
      </c>
      <c r="G35" s="48" t="s">
        <v>276</v>
      </c>
      <c r="H35" s="48" t="s">
        <v>283</v>
      </c>
      <c r="I35" s="48" t="s">
        <v>300</v>
      </c>
      <c r="J35" s="48" t="s">
        <v>306</v>
      </c>
      <c r="K35" s="48" t="s">
        <v>303</v>
      </c>
      <c r="L35" s="48" t="s">
        <v>270</v>
      </c>
      <c r="M35" s="48" t="s">
        <v>371</v>
      </c>
      <c r="N35" s="48">
        <v>74</v>
      </c>
      <c r="O35" s="48">
        <v>28</v>
      </c>
      <c r="P35" s="52">
        <v>32</v>
      </c>
    </row>
    <row r="36" spans="2:16" x14ac:dyDescent="0.25">
      <c r="B36" s="50">
        <v>42414</v>
      </c>
      <c r="C36" s="46">
        <v>0.40763888888888888</v>
      </c>
      <c r="D36" s="711" t="s">
        <v>214</v>
      </c>
      <c r="E36" s="48" t="s">
        <v>309</v>
      </c>
      <c r="F36" s="48" t="s">
        <v>280</v>
      </c>
      <c r="G36" s="48" t="s">
        <v>444</v>
      </c>
      <c r="H36" s="48" t="s">
        <v>283</v>
      </c>
      <c r="I36" s="48" t="s">
        <v>324</v>
      </c>
      <c r="J36" s="48" t="s">
        <v>278</v>
      </c>
      <c r="K36" s="48" t="s">
        <v>303</v>
      </c>
      <c r="L36" s="48" t="s">
        <v>270</v>
      </c>
      <c r="M36" s="48" t="s">
        <v>375</v>
      </c>
      <c r="N36" s="48">
        <v>638</v>
      </c>
      <c r="O36" s="48">
        <v>112</v>
      </c>
      <c r="P36" s="52">
        <v>168</v>
      </c>
    </row>
    <row r="37" spans="2:16" x14ac:dyDescent="0.25">
      <c r="B37" s="51">
        <v>42415</v>
      </c>
      <c r="C37" s="46">
        <v>0.43888888888888888</v>
      </c>
      <c r="D37" s="711" t="s">
        <v>215</v>
      </c>
      <c r="E37" s="48" t="s">
        <v>256</v>
      </c>
      <c r="F37" s="48" t="s">
        <v>280</v>
      </c>
      <c r="G37" s="48" t="s">
        <v>276</v>
      </c>
      <c r="H37" s="48" t="s">
        <v>292</v>
      </c>
      <c r="I37" s="48" t="s">
        <v>271</v>
      </c>
      <c r="J37" s="48" t="s">
        <v>306</v>
      </c>
      <c r="K37" s="48" t="s">
        <v>303</v>
      </c>
      <c r="L37" s="48" t="s">
        <v>270</v>
      </c>
      <c r="M37" s="48" t="s">
        <v>375</v>
      </c>
      <c r="N37" s="48">
        <v>62</v>
      </c>
      <c r="O37" s="48">
        <v>26</v>
      </c>
      <c r="P37" s="52">
        <v>12</v>
      </c>
    </row>
    <row r="38" spans="2:16" x14ac:dyDescent="0.25">
      <c r="B38" s="50">
        <v>42415</v>
      </c>
      <c r="C38" s="46">
        <v>0.73749999999999993</v>
      </c>
      <c r="D38" s="711" t="s">
        <v>216</v>
      </c>
      <c r="E38" s="48" t="s">
        <v>254</v>
      </c>
      <c r="F38" s="48" t="s">
        <v>289</v>
      </c>
      <c r="G38" s="48" t="s">
        <v>276</v>
      </c>
      <c r="H38" s="48" t="s">
        <v>313</v>
      </c>
      <c r="I38" s="48" t="s">
        <v>333</v>
      </c>
      <c r="J38" s="48" t="s">
        <v>271</v>
      </c>
      <c r="K38" s="48" t="s">
        <v>303</v>
      </c>
      <c r="L38" s="48" t="s">
        <v>270</v>
      </c>
      <c r="M38" s="48" t="s">
        <v>375</v>
      </c>
      <c r="N38" s="48">
        <v>204</v>
      </c>
      <c r="O38" s="48">
        <v>10</v>
      </c>
      <c r="P38" s="52">
        <v>66</v>
      </c>
    </row>
    <row r="39" spans="2:16" x14ac:dyDescent="0.25">
      <c r="B39" s="51">
        <v>42416</v>
      </c>
      <c r="C39" s="46">
        <v>0.42222222222222222</v>
      </c>
      <c r="D39" s="711" t="s">
        <v>217</v>
      </c>
      <c r="E39" s="48" t="s">
        <v>256</v>
      </c>
      <c r="F39" s="48" t="s">
        <v>280</v>
      </c>
      <c r="G39" s="48" t="s">
        <v>276</v>
      </c>
      <c r="H39" s="48" t="s">
        <v>292</v>
      </c>
      <c r="I39" s="48" t="s">
        <v>324</v>
      </c>
      <c r="J39" s="48" t="s">
        <v>307</v>
      </c>
      <c r="K39" s="48" t="s">
        <v>303</v>
      </c>
      <c r="L39" s="48" t="s">
        <v>270</v>
      </c>
      <c r="M39" s="48" t="s">
        <v>375</v>
      </c>
      <c r="N39" s="48">
        <v>71</v>
      </c>
      <c r="O39" s="48">
        <v>29</v>
      </c>
      <c r="P39" s="52">
        <v>12</v>
      </c>
    </row>
    <row r="40" spans="2:16" x14ac:dyDescent="0.25">
      <c r="B40" s="50">
        <v>42416</v>
      </c>
      <c r="C40" s="46">
        <v>0.6875</v>
      </c>
      <c r="D40" s="711" t="s">
        <v>218</v>
      </c>
      <c r="E40" s="48" t="s">
        <v>384</v>
      </c>
      <c r="F40" s="48" t="s">
        <v>348</v>
      </c>
      <c r="G40" s="48" t="s">
        <v>276</v>
      </c>
      <c r="H40" s="48" t="s">
        <v>292</v>
      </c>
      <c r="I40" s="48" t="s">
        <v>271</v>
      </c>
      <c r="J40" s="48" t="s">
        <v>307</v>
      </c>
      <c r="K40" s="48" t="s">
        <v>303</v>
      </c>
      <c r="L40" s="48" t="s">
        <v>270</v>
      </c>
      <c r="M40" s="48" t="s">
        <v>375</v>
      </c>
      <c r="N40" s="48">
        <v>617</v>
      </c>
      <c r="O40" s="48">
        <v>111</v>
      </c>
      <c r="P40" s="52">
        <v>95</v>
      </c>
    </row>
    <row r="41" spans="2:16" x14ac:dyDescent="0.25">
      <c r="B41" s="51">
        <v>42417</v>
      </c>
      <c r="C41" s="46">
        <v>0.79166666666666663</v>
      </c>
      <c r="D41" s="711" t="s">
        <v>221</v>
      </c>
      <c r="E41" s="48" t="s">
        <v>380</v>
      </c>
      <c r="F41" s="48" t="s">
        <v>280</v>
      </c>
      <c r="G41" s="48" t="s">
        <v>444</v>
      </c>
      <c r="H41" s="48" t="s">
        <v>283</v>
      </c>
      <c r="I41" s="48" t="s">
        <v>324</v>
      </c>
      <c r="J41" s="48" t="s">
        <v>274</v>
      </c>
      <c r="K41" s="48" t="s">
        <v>303</v>
      </c>
      <c r="L41" s="48" t="s">
        <v>272</v>
      </c>
      <c r="M41" s="48" t="s">
        <v>442</v>
      </c>
      <c r="N41" s="48">
        <v>337</v>
      </c>
      <c r="O41" s="48">
        <v>22</v>
      </c>
      <c r="P41" s="52">
        <v>28</v>
      </c>
    </row>
    <row r="42" spans="2:16" x14ac:dyDescent="0.25">
      <c r="B42" s="50">
        <v>42417</v>
      </c>
      <c r="C42" s="46">
        <v>0.66805555555555562</v>
      </c>
      <c r="D42" s="711" t="s">
        <v>220</v>
      </c>
      <c r="E42" s="48" t="s">
        <v>388</v>
      </c>
      <c r="F42" s="48" t="s">
        <v>352</v>
      </c>
      <c r="G42" s="48" t="s">
        <v>276</v>
      </c>
      <c r="H42" s="48" t="s">
        <v>313</v>
      </c>
      <c r="I42" s="48" t="s">
        <v>296</v>
      </c>
      <c r="J42" s="48" t="s">
        <v>466</v>
      </c>
      <c r="K42" s="48" t="s">
        <v>303</v>
      </c>
      <c r="L42" s="48" t="s">
        <v>270</v>
      </c>
      <c r="M42" s="48" t="s">
        <v>375</v>
      </c>
      <c r="N42" s="48">
        <v>375</v>
      </c>
      <c r="O42" s="48">
        <v>78</v>
      </c>
      <c r="P42" s="52">
        <v>102</v>
      </c>
    </row>
    <row r="43" spans="2:16" x14ac:dyDescent="0.25">
      <c r="B43" s="51">
        <v>42417</v>
      </c>
      <c r="C43" s="46">
        <v>0.41388888888888892</v>
      </c>
      <c r="D43" s="711" t="s">
        <v>219</v>
      </c>
      <c r="E43" s="48" t="s">
        <v>312</v>
      </c>
      <c r="F43" s="48" t="s">
        <v>280</v>
      </c>
      <c r="G43" s="48" t="s">
        <v>276</v>
      </c>
      <c r="H43" s="48" t="s">
        <v>292</v>
      </c>
      <c r="I43" s="48" t="s">
        <v>296</v>
      </c>
      <c r="J43" s="48" t="s">
        <v>466</v>
      </c>
      <c r="K43" s="48" t="s">
        <v>303</v>
      </c>
      <c r="L43" s="48" t="s">
        <v>270</v>
      </c>
      <c r="M43" s="48" t="s">
        <v>375</v>
      </c>
      <c r="N43" s="48">
        <v>24488</v>
      </c>
      <c r="O43" s="48">
        <v>886</v>
      </c>
      <c r="P43" s="52">
        <v>8634</v>
      </c>
    </row>
    <row r="44" spans="2:16" x14ac:dyDescent="0.25">
      <c r="B44" s="50">
        <v>42418</v>
      </c>
      <c r="C44" s="46">
        <v>0.80069444444444438</v>
      </c>
      <c r="D44" s="711" t="s">
        <v>223</v>
      </c>
      <c r="E44" s="48" t="s">
        <v>285</v>
      </c>
      <c r="F44" s="48" t="s">
        <v>280</v>
      </c>
      <c r="G44" s="48" t="s">
        <v>276</v>
      </c>
      <c r="H44" s="48" t="s">
        <v>292</v>
      </c>
      <c r="I44" s="48" t="s">
        <v>271</v>
      </c>
      <c r="J44" s="48" t="s">
        <v>279</v>
      </c>
      <c r="K44" s="48" t="s">
        <v>303</v>
      </c>
      <c r="L44" s="48" t="s">
        <v>270</v>
      </c>
      <c r="M44" s="48" t="s">
        <v>371</v>
      </c>
      <c r="N44" s="48">
        <v>84</v>
      </c>
      <c r="O44" s="48">
        <v>20</v>
      </c>
      <c r="P44" s="52">
        <v>21</v>
      </c>
    </row>
    <row r="45" spans="2:16" x14ac:dyDescent="0.25">
      <c r="B45" s="61">
        <v>42418</v>
      </c>
      <c r="C45" s="58">
        <v>0.4201388888888889</v>
      </c>
      <c r="D45" s="718" t="s">
        <v>222</v>
      </c>
      <c r="E45" s="59" t="s">
        <v>285</v>
      </c>
      <c r="F45" s="59" t="s">
        <v>280</v>
      </c>
      <c r="G45" s="59" t="s">
        <v>276</v>
      </c>
      <c r="H45" s="59" t="s">
        <v>292</v>
      </c>
      <c r="I45" s="59" t="s">
        <v>296</v>
      </c>
      <c r="J45" s="59" t="s">
        <v>466</v>
      </c>
      <c r="K45" s="59" t="s">
        <v>303</v>
      </c>
      <c r="L45" s="59" t="s">
        <v>270</v>
      </c>
      <c r="M45" s="59" t="s">
        <v>371</v>
      </c>
      <c r="N45" s="59">
        <v>132</v>
      </c>
      <c r="O45" s="59">
        <v>22</v>
      </c>
      <c r="P45" s="60">
        <v>50</v>
      </c>
    </row>
    <row r="46" spans="2:16" x14ac:dyDescent="0.25">
      <c r="B46" s="50">
        <v>42419</v>
      </c>
      <c r="C46" s="46">
        <v>0.4152777777777778</v>
      </c>
      <c r="D46" s="711" t="s">
        <v>224</v>
      </c>
      <c r="E46" s="48" t="s">
        <v>294</v>
      </c>
      <c r="F46" s="48" t="s">
        <v>348</v>
      </c>
      <c r="G46" s="48" t="s">
        <v>276</v>
      </c>
      <c r="H46" s="48" t="s">
        <v>362</v>
      </c>
      <c r="I46" s="48" t="s">
        <v>271</v>
      </c>
      <c r="J46" s="48" t="s">
        <v>306</v>
      </c>
      <c r="K46" s="48" t="s">
        <v>303</v>
      </c>
      <c r="L46" s="48" t="s">
        <v>270</v>
      </c>
      <c r="M46" s="48" t="s">
        <v>371</v>
      </c>
      <c r="N46" s="48">
        <v>531</v>
      </c>
      <c r="O46" s="48">
        <v>146</v>
      </c>
      <c r="P46" s="52">
        <v>106</v>
      </c>
    </row>
    <row r="47" spans="2:16" x14ac:dyDescent="0.25">
      <c r="B47" s="51">
        <v>42419</v>
      </c>
      <c r="C47" s="46">
        <v>0.78472222222222221</v>
      </c>
      <c r="D47" s="711" t="s">
        <v>225</v>
      </c>
      <c r="E47" s="48" t="s">
        <v>285</v>
      </c>
      <c r="F47" s="48" t="s">
        <v>280</v>
      </c>
      <c r="G47" s="48" t="s">
        <v>444</v>
      </c>
      <c r="H47" s="48" t="s">
        <v>283</v>
      </c>
      <c r="I47" s="48" t="s">
        <v>271</v>
      </c>
      <c r="J47" s="48" t="s">
        <v>274</v>
      </c>
      <c r="K47" s="48" t="s">
        <v>303</v>
      </c>
      <c r="L47" s="48" t="s">
        <v>270</v>
      </c>
      <c r="M47" s="48" t="s">
        <v>375</v>
      </c>
      <c r="N47" s="48">
        <v>128</v>
      </c>
      <c r="O47" s="48">
        <v>26</v>
      </c>
      <c r="P47" s="52">
        <v>24</v>
      </c>
    </row>
    <row r="48" spans="2:16" x14ac:dyDescent="0.25">
      <c r="B48" s="50">
        <v>42420</v>
      </c>
      <c r="C48" s="46">
        <v>0.41875000000000001</v>
      </c>
      <c r="D48" s="711" t="s">
        <v>226</v>
      </c>
      <c r="E48" s="48" t="s">
        <v>285</v>
      </c>
      <c r="F48" s="48" t="s">
        <v>280</v>
      </c>
      <c r="G48" s="48" t="s">
        <v>276</v>
      </c>
      <c r="H48" s="48" t="s">
        <v>292</v>
      </c>
      <c r="I48" s="48" t="s">
        <v>271</v>
      </c>
      <c r="J48" s="48" t="s">
        <v>279</v>
      </c>
      <c r="K48" s="48" t="s">
        <v>303</v>
      </c>
      <c r="L48" s="48" t="s">
        <v>270</v>
      </c>
      <c r="M48" s="48" t="s">
        <v>375</v>
      </c>
      <c r="N48" s="48">
        <v>183</v>
      </c>
      <c r="O48" s="48">
        <v>30</v>
      </c>
      <c r="P48" s="52">
        <v>66</v>
      </c>
    </row>
    <row r="49" spans="2:16" x14ac:dyDescent="0.25">
      <c r="B49" s="51">
        <v>42421</v>
      </c>
      <c r="C49" s="46">
        <v>0.41111111111111115</v>
      </c>
      <c r="D49" s="711" t="s">
        <v>227</v>
      </c>
      <c r="E49" s="48" t="s">
        <v>309</v>
      </c>
      <c r="F49" s="48" t="s">
        <v>280</v>
      </c>
      <c r="G49" s="48" t="s">
        <v>276</v>
      </c>
      <c r="H49" s="48" t="s">
        <v>283</v>
      </c>
      <c r="I49" s="48" t="s">
        <v>324</v>
      </c>
      <c r="J49" s="48" t="s">
        <v>279</v>
      </c>
      <c r="K49" s="48" t="s">
        <v>303</v>
      </c>
      <c r="L49" s="48" t="s">
        <v>270</v>
      </c>
      <c r="M49" s="48" t="s">
        <v>375</v>
      </c>
      <c r="N49" s="48">
        <v>1300</v>
      </c>
      <c r="O49" s="48">
        <v>87</v>
      </c>
      <c r="P49" s="52">
        <v>228</v>
      </c>
    </row>
    <row r="50" spans="2:16" x14ac:dyDescent="0.25">
      <c r="B50" s="50">
        <v>42422</v>
      </c>
      <c r="C50" s="46">
        <v>0.41666666666666669</v>
      </c>
      <c r="D50" s="711" t="s">
        <v>228</v>
      </c>
      <c r="E50" s="48" t="s">
        <v>256</v>
      </c>
      <c r="F50" s="48" t="s">
        <v>280</v>
      </c>
      <c r="G50" s="48" t="s">
        <v>276</v>
      </c>
      <c r="H50" s="48" t="s">
        <v>292</v>
      </c>
      <c r="I50" s="48" t="s">
        <v>271</v>
      </c>
      <c r="J50" s="48" t="s">
        <v>307</v>
      </c>
      <c r="K50" s="48" t="s">
        <v>303</v>
      </c>
      <c r="L50" s="48" t="s">
        <v>270</v>
      </c>
      <c r="M50" s="48" t="s">
        <v>375</v>
      </c>
      <c r="N50" s="48">
        <v>197</v>
      </c>
      <c r="O50" s="48">
        <v>34</v>
      </c>
      <c r="P50" s="52">
        <v>28</v>
      </c>
    </row>
    <row r="51" spans="2:16" x14ac:dyDescent="0.25">
      <c r="B51" s="51">
        <v>42422</v>
      </c>
      <c r="C51" s="46">
        <v>0.63888888888888895</v>
      </c>
      <c r="D51" s="711" t="s">
        <v>229</v>
      </c>
      <c r="E51" s="48" t="s">
        <v>314</v>
      </c>
      <c r="F51" s="48" t="s">
        <v>346</v>
      </c>
      <c r="G51" s="48" t="s">
        <v>276</v>
      </c>
      <c r="H51" s="48" t="s">
        <v>273</v>
      </c>
      <c r="I51" s="48" t="s">
        <v>271</v>
      </c>
      <c r="J51" s="48" t="s">
        <v>307</v>
      </c>
      <c r="K51" s="48" t="s">
        <v>303</v>
      </c>
      <c r="L51" s="48" t="s">
        <v>270</v>
      </c>
      <c r="M51" s="48" t="s">
        <v>371</v>
      </c>
      <c r="N51" s="48">
        <v>188</v>
      </c>
      <c r="O51" s="48">
        <v>49</v>
      </c>
      <c r="P51" s="52">
        <v>45</v>
      </c>
    </row>
    <row r="52" spans="2:16" x14ac:dyDescent="0.25">
      <c r="B52" s="50">
        <v>42423</v>
      </c>
      <c r="C52" s="46">
        <v>0.5</v>
      </c>
      <c r="D52" s="711" t="s">
        <v>231</v>
      </c>
      <c r="E52" s="48" t="s">
        <v>254</v>
      </c>
      <c r="F52" s="48" t="s">
        <v>343</v>
      </c>
      <c r="G52" s="48" t="s">
        <v>276</v>
      </c>
      <c r="H52" s="48" t="s">
        <v>313</v>
      </c>
      <c r="I52" s="48" t="s">
        <v>296</v>
      </c>
      <c r="J52" s="48" t="s">
        <v>466</v>
      </c>
      <c r="K52" s="48" t="s">
        <v>303</v>
      </c>
      <c r="L52" s="48" t="s">
        <v>272</v>
      </c>
      <c r="M52" s="48" t="s">
        <v>375</v>
      </c>
      <c r="N52" s="48">
        <v>664</v>
      </c>
      <c r="O52" s="48">
        <v>185</v>
      </c>
      <c r="P52" s="52">
        <v>306</v>
      </c>
    </row>
    <row r="53" spans="2:16" x14ac:dyDescent="0.25">
      <c r="B53" s="51">
        <v>42423</v>
      </c>
      <c r="C53" s="46">
        <v>0.75</v>
      </c>
      <c r="D53" s="711" t="s">
        <v>232</v>
      </c>
      <c r="E53" s="48" t="s">
        <v>344</v>
      </c>
      <c r="F53" s="48" t="s">
        <v>280</v>
      </c>
      <c r="G53" s="48" t="s">
        <v>276</v>
      </c>
      <c r="H53" s="48" t="s">
        <v>292</v>
      </c>
      <c r="I53" s="48" t="s">
        <v>271</v>
      </c>
      <c r="J53" s="48" t="s">
        <v>279</v>
      </c>
      <c r="K53" s="48" t="s">
        <v>303</v>
      </c>
      <c r="L53" s="48" t="s">
        <v>270</v>
      </c>
      <c r="M53" s="48" t="s">
        <v>371</v>
      </c>
      <c r="N53" s="48">
        <v>123</v>
      </c>
      <c r="O53" s="48">
        <v>22</v>
      </c>
      <c r="P53" s="52">
        <v>17</v>
      </c>
    </row>
    <row r="54" spans="2:16" x14ac:dyDescent="0.25">
      <c r="B54" s="50">
        <v>42423</v>
      </c>
      <c r="C54" s="46">
        <v>0.39583333333333331</v>
      </c>
      <c r="D54" s="711" t="s">
        <v>230</v>
      </c>
      <c r="E54" s="48" t="s">
        <v>312</v>
      </c>
      <c r="F54" s="48" t="s">
        <v>353</v>
      </c>
      <c r="G54" s="48" t="s">
        <v>276</v>
      </c>
      <c r="H54" s="48" t="s">
        <v>292</v>
      </c>
      <c r="I54" s="48" t="s">
        <v>271</v>
      </c>
      <c r="J54" s="48" t="s">
        <v>366</v>
      </c>
      <c r="K54" s="48" t="s">
        <v>303</v>
      </c>
      <c r="L54" s="48" t="s">
        <v>270</v>
      </c>
      <c r="M54" s="48" t="s">
        <v>375</v>
      </c>
      <c r="N54" s="48">
        <v>183</v>
      </c>
      <c r="O54" s="48">
        <v>43</v>
      </c>
      <c r="P54" s="52">
        <v>36</v>
      </c>
    </row>
    <row r="55" spans="2:16" x14ac:dyDescent="0.25">
      <c r="B55" s="51">
        <v>42424</v>
      </c>
      <c r="C55" s="46">
        <v>0.58333333333333337</v>
      </c>
      <c r="D55" s="711" t="s">
        <v>234</v>
      </c>
      <c r="E55" s="48" t="s">
        <v>294</v>
      </c>
      <c r="F55" s="48" t="s">
        <v>280</v>
      </c>
      <c r="G55" s="48" t="s">
        <v>276</v>
      </c>
      <c r="H55" s="48" t="s">
        <v>273</v>
      </c>
      <c r="I55" s="48" t="s">
        <v>271</v>
      </c>
      <c r="J55" s="48" t="s">
        <v>291</v>
      </c>
      <c r="K55" s="48" t="s">
        <v>303</v>
      </c>
      <c r="L55" s="48" t="s">
        <v>270</v>
      </c>
      <c r="M55" s="48" t="s">
        <v>378</v>
      </c>
      <c r="N55" s="48">
        <v>173</v>
      </c>
      <c r="O55" s="48">
        <v>92</v>
      </c>
      <c r="P55" s="52">
        <v>45</v>
      </c>
    </row>
    <row r="56" spans="2:16" x14ac:dyDescent="0.25">
      <c r="B56" s="50">
        <v>42424</v>
      </c>
      <c r="C56" s="46">
        <v>0.75208333333333333</v>
      </c>
      <c r="D56" s="711" t="s">
        <v>235</v>
      </c>
      <c r="E56" s="48" t="s">
        <v>391</v>
      </c>
      <c r="F56" s="48" t="s">
        <v>280</v>
      </c>
      <c r="G56" s="48" t="s">
        <v>276</v>
      </c>
      <c r="H56" s="48" t="s">
        <v>292</v>
      </c>
      <c r="I56" s="48" t="s">
        <v>296</v>
      </c>
      <c r="J56" s="48" t="s">
        <v>278</v>
      </c>
      <c r="K56" s="48" t="s">
        <v>303</v>
      </c>
      <c r="L56" s="48" t="s">
        <v>270</v>
      </c>
      <c r="M56" s="48" t="s">
        <v>371</v>
      </c>
      <c r="N56" s="48">
        <v>280</v>
      </c>
      <c r="O56" s="48">
        <v>64</v>
      </c>
      <c r="P56" s="52">
        <v>61</v>
      </c>
    </row>
    <row r="57" spans="2:16" x14ac:dyDescent="0.25">
      <c r="B57" s="51">
        <v>42424</v>
      </c>
      <c r="C57" s="46">
        <v>0.42499999999999999</v>
      </c>
      <c r="D57" s="711" t="s">
        <v>233</v>
      </c>
      <c r="E57" s="48" t="s">
        <v>254</v>
      </c>
      <c r="F57" s="48" t="s">
        <v>354</v>
      </c>
      <c r="G57" s="48" t="s">
        <v>276</v>
      </c>
      <c r="H57" s="48" t="s">
        <v>292</v>
      </c>
      <c r="I57" s="48" t="s">
        <v>296</v>
      </c>
      <c r="J57" s="48" t="s">
        <v>274</v>
      </c>
      <c r="K57" s="48" t="s">
        <v>303</v>
      </c>
      <c r="L57" s="48" t="s">
        <v>270</v>
      </c>
      <c r="M57" s="48" t="s">
        <v>371</v>
      </c>
      <c r="N57" s="48">
        <v>432</v>
      </c>
      <c r="O57" s="48">
        <v>83</v>
      </c>
      <c r="P57" s="52">
        <v>121</v>
      </c>
    </row>
    <row r="58" spans="2:16" x14ac:dyDescent="0.25">
      <c r="B58" s="50">
        <v>42425</v>
      </c>
      <c r="C58" s="46">
        <v>0.79305555555555562</v>
      </c>
      <c r="D58" s="711" t="s">
        <v>238</v>
      </c>
      <c r="E58" s="48" t="s">
        <v>257</v>
      </c>
      <c r="F58" s="48" t="s">
        <v>280</v>
      </c>
      <c r="G58" s="48" t="s">
        <v>276</v>
      </c>
      <c r="H58" s="48" t="s">
        <v>313</v>
      </c>
      <c r="I58" s="48" t="s">
        <v>300</v>
      </c>
      <c r="J58" s="48" t="s">
        <v>277</v>
      </c>
      <c r="K58" s="48" t="s">
        <v>303</v>
      </c>
      <c r="L58" s="48" t="s">
        <v>270</v>
      </c>
      <c r="M58" s="48" t="s">
        <v>375</v>
      </c>
      <c r="N58" s="48">
        <v>100</v>
      </c>
      <c r="O58" s="48">
        <v>32</v>
      </c>
      <c r="P58" s="52">
        <v>24</v>
      </c>
    </row>
    <row r="59" spans="2:16" x14ac:dyDescent="0.25">
      <c r="B59" s="51">
        <v>42425</v>
      </c>
      <c r="C59" s="46">
        <v>0.54513888888888895</v>
      </c>
      <c r="D59" s="711" t="s">
        <v>237</v>
      </c>
      <c r="E59" s="48" t="s">
        <v>295</v>
      </c>
      <c r="F59" s="48" t="s">
        <v>280</v>
      </c>
      <c r="G59" s="48" t="s">
        <v>276</v>
      </c>
      <c r="H59" s="48" t="s">
        <v>292</v>
      </c>
      <c r="I59" s="48" t="s">
        <v>324</v>
      </c>
      <c r="J59" s="48" t="s">
        <v>279</v>
      </c>
      <c r="K59" s="48" t="s">
        <v>303</v>
      </c>
      <c r="L59" s="48" t="s">
        <v>270</v>
      </c>
      <c r="M59" s="48" t="s">
        <v>371</v>
      </c>
      <c r="N59" s="48">
        <v>1900</v>
      </c>
      <c r="O59" s="48">
        <v>81</v>
      </c>
      <c r="P59" s="52">
        <v>336</v>
      </c>
    </row>
    <row r="60" spans="2:16" x14ac:dyDescent="0.25">
      <c r="B60" s="50">
        <v>42425</v>
      </c>
      <c r="C60" s="46">
        <v>0.46527777777777773</v>
      </c>
      <c r="D60" s="711" t="s">
        <v>236</v>
      </c>
      <c r="E60" s="119" t="s">
        <v>478</v>
      </c>
      <c r="F60" s="48" t="s">
        <v>280</v>
      </c>
      <c r="G60" s="48" t="s">
        <v>444</v>
      </c>
      <c r="H60" s="48" t="s">
        <v>283</v>
      </c>
      <c r="I60" s="48" t="s">
        <v>271</v>
      </c>
      <c r="J60" s="48" t="s">
        <v>275</v>
      </c>
      <c r="K60" s="48" t="s">
        <v>303</v>
      </c>
      <c r="L60" s="48" t="s">
        <v>272</v>
      </c>
      <c r="M60" s="48" t="s">
        <v>442</v>
      </c>
      <c r="N60" s="48">
        <v>1600</v>
      </c>
      <c r="O60" s="48">
        <v>60</v>
      </c>
      <c r="P60" s="52">
        <v>61</v>
      </c>
    </row>
    <row r="61" spans="2:16" x14ac:dyDescent="0.25">
      <c r="B61" s="51">
        <v>42426</v>
      </c>
      <c r="C61" s="46">
        <v>0.70833333333333337</v>
      </c>
      <c r="D61" s="711" t="s">
        <v>240</v>
      </c>
      <c r="E61" s="48" t="s">
        <v>334</v>
      </c>
      <c r="F61" s="48" t="s">
        <v>356</v>
      </c>
      <c r="G61" s="48" t="s">
        <v>446</v>
      </c>
      <c r="H61" s="48" t="s">
        <v>283</v>
      </c>
      <c r="I61" s="48" t="s">
        <v>296</v>
      </c>
      <c r="J61" s="48" t="s">
        <v>466</v>
      </c>
      <c r="K61" s="48" t="s">
        <v>303</v>
      </c>
      <c r="L61" s="48" t="s">
        <v>270</v>
      </c>
      <c r="M61" s="48" t="s">
        <v>442</v>
      </c>
      <c r="N61" s="48">
        <v>64</v>
      </c>
      <c r="O61" s="48">
        <v>30</v>
      </c>
      <c r="P61" s="52">
        <v>16</v>
      </c>
    </row>
    <row r="62" spans="2:16" x14ac:dyDescent="0.25">
      <c r="B62" s="50">
        <v>42426</v>
      </c>
      <c r="C62" s="46">
        <v>0.44513888888888892</v>
      </c>
      <c r="D62" s="711" t="s">
        <v>239</v>
      </c>
      <c r="E62" s="48" t="s">
        <v>365</v>
      </c>
      <c r="F62" s="48" t="s">
        <v>355</v>
      </c>
      <c r="G62" s="48" t="s">
        <v>276</v>
      </c>
      <c r="H62" s="48" t="s">
        <v>292</v>
      </c>
      <c r="I62" s="48" t="s">
        <v>271</v>
      </c>
      <c r="J62" s="48" t="s">
        <v>307</v>
      </c>
      <c r="K62" s="48" t="s">
        <v>303</v>
      </c>
      <c r="L62" s="48" t="s">
        <v>270</v>
      </c>
      <c r="M62" s="48" t="s">
        <v>375</v>
      </c>
      <c r="N62" s="48">
        <v>136</v>
      </c>
      <c r="O62" s="48">
        <v>45</v>
      </c>
      <c r="P62" s="52">
        <v>24</v>
      </c>
    </row>
    <row r="63" spans="2:16" x14ac:dyDescent="0.25">
      <c r="B63" s="51">
        <v>42427</v>
      </c>
      <c r="C63" s="46">
        <v>0.61805555555555558</v>
      </c>
      <c r="D63" s="711" t="s">
        <v>242</v>
      </c>
      <c r="E63" s="48" t="s">
        <v>257</v>
      </c>
      <c r="F63" s="48" t="s">
        <v>356</v>
      </c>
      <c r="G63" s="48" t="s">
        <v>276</v>
      </c>
      <c r="H63" s="48" t="s">
        <v>292</v>
      </c>
      <c r="I63" s="48" t="s">
        <v>324</v>
      </c>
      <c r="J63" s="48" t="s">
        <v>279</v>
      </c>
      <c r="K63" s="48" t="s">
        <v>303</v>
      </c>
      <c r="L63" s="48" t="s">
        <v>270</v>
      </c>
      <c r="M63" s="48" t="s">
        <v>371</v>
      </c>
      <c r="N63" s="48">
        <v>178</v>
      </c>
      <c r="O63" s="48">
        <v>68</v>
      </c>
      <c r="P63" s="52">
        <v>79</v>
      </c>
    </row>
    <row r="64" spans="2:16" x14ac:dyDescent="0.25">
      <c r="B64" s="50">
        <v>42427</v>
      </c>
      <c r="C64" s="46">
        <v>0.40625</v>
      </c>
      <c r="D64" s="711" t="s">
        <v>241</v>
      </c>
      <c r="E64" s="48" t="s">
        <v>328</v>
      </c>
      <c r="F64" s="48" t="s">
        <v>356</v>
      </c>
      <c r="G64" s="48" t="s">
        <v>445</v>
      </c>
      <c r="H64" s="48" t="s">
        <v>313</v>
      </c>
      <c r="I64" s="48" t="s">
        <v>271</v>
      </c>
      <c r="J64" s="48" t="s">
        <v>307</v>
      </c>
      <c r="K64" s="48" t="s">
        <v>303</v>
      </c>
      <c r="L64" s="48" t="s">
        <v>272</v>
      </c>
      <c r="M64" s="48" t="s">
        <v>368</v>
      </c>
      <c r="N64" s="48">
        <v>319</v>
      </c>
      <c r="O64" s="48">
        <v>39</v>
      </c>
      <c r="P64" s="52">
        <v>66</v>
      </c>
    </row>
    <row r="65" spans="2:16" x14ac:dyDescent="0.25">
      <c r="B65" s="51">
        <v>42428</v>
      </c>
      <c r="C65" s="46">
        <v>0.70972222222222225</v>
      </c>
      <c r="D65" s="711" t="s">
        <v>244</v>
      </c>
      <c r="E65" s="48" t="s">
        <v>334</v>
      </c>
      <c r="F65" s="48" t="s">
        <v>356</v>
      </c>
      <c r="G65" s="48" t="s">
        <v>444</v>
      </c>
      <c r="H65" s="48" t="s">
        <v>283</v>
      </c>
      <c r="I65" s="48" t="s">
        <v>324</v>
      </c>
      <c r="J65" s="48" t="s">
        <v>274</v>
      </c>
      <c r="K65" s="48" t="s">
        <v>303</v>
      </c>
      <c r="L65" s="48" t="s">
        <v>270</v>
      </c>
      <c r="M65" s="48" t="s">
        <v>368</v>
      </c>
      <c r="N65" s="48">
        <v>189</v>
      </c>
      <c r="O65" s="48">
        <v>19</v>
      </c>
      <c r="P65" s="52">
        <v>20</v>
      </c>
    </row>
    <row r="66" spans="2:16" x14ac:dyDescent="0.25">
      <c r="B66" s="50">
        <v>42428</v>
      </c>
      <c r="C66" s="46">
        <v>0.41666666666666669</v>
      </c>
      <c r="D66" s="711" t="s">
        <v>243</v>
      </c>
      <c r="E66" s="48" t="s">
        <v>388</v>
      </c>
      <c r="F66" s="48" t="s">
        <v>357</v>
      </c>
      <c r="G66" s="48" t="s">
        <v>446</v>
      </c>
      <c r="H66" s="48" t="s">
        <v>362</v>
      </c>
      <c r="I66" s="48" t="s">
        <v>296</v>
      </c>
      <c r="J66" s="48" t="s">
        <v>274</v>
      </c>
      <c r="K66" s="48" t="s">
        <v>303</v>
      </c>
      <c r="L66" s="48" t="s">
        <v>270</v>
      </c>
      <c r="M66" s="48" t="s">
        <v>374</v>
      </c>
      <c r="N66" s="48">
        <v>188</v>
      </c>
      <c r="O66" s="48">
        <v>19</v>
      </c>
      <c r="P66" s="52">
        <v>20</v>
      </c>
    </row>
    <row r="67" spans="2:16" x14ac:dyDescent="0.25">
      <c r="B67" s="51">
        <v>42429</v>
      </c>
      <c r="C67" s="46" t="s">
        <v>332</v>
      </c>
      <c r="D67" s="711" t="s">
        <v>358</v>
      </c>
      <c r="E67" s="48" t="s">
        <v>256</v>
      </c>
      <c r="F67" s="48" t="s">
        <v>280</v>
      </c>
      <c r="G67" s="48" t="s">
        <v>276</v>
      </c>
      <c r="H67" s="48" t="s">
        <v>292</v>
      </c>
      <c r="I67" s="48" t="s">
        <v>271</v>
      </c>
      <c r="J67" s="48" t="s">
        <v>291</v>
      </c>
      <c r="K67" s="48" t="s">
        <v>303</v>
      </c>
      <c r="L67" s="48" t="s">
        <v>270</v>
      </c>
      <c r="M67" s="48" t="s">
        <v>371</v>
      </c>
      <c r="N67" s="48">
        <v>379</v>
      </c>
      <c r="O67" s="48">
        <v>51</v>
      </c>
      <c r="P67" s="52">
        <v>62</v>
      </c>
    </row>
    <row r="68" spans="2:16" x14ac:dyDescent="0.25">
      <c r="B68" s="57">
        <v>42429</v>
      </c>
      <c r="C68" s="58">
        <v>0.4152777777777778</v>
      </c>
      <c r="D68" s="718" t="s">
        <v>245</v>
      </c>
      <c r="E68" s="59" t="s">
        <v>334</v>
      </c>
      <c r="F68" s="59" t="s">
        <v>356</v>
      </c>
      <c r="G68" s="59" t="s">
        <v>444</v>
      </c>
      <c r="H68" s="59" t="s">
        <v>283</v>
      </c>
      <c r="I68" s="59" t="s">
        <v>271</v>
      </c>
      <c r="J68" s="59" t="s">
        <v>366</v>
      </c>
      <c r="K68" s="59" t="s">
        <v>303</v>
      </c>
      <c r="L68" s="59" t="s">
        <v>270</v>
      </c>
      <c r="M68" s="59" t="s">
        <v>443</v>
      </c>
      <c r="N68" s="59">
        <v>254</v>
      </c>
      <c r="O68" s="59">
        <v>21</v>
      </c>
      <c r="P68" s="60">
        <v>47</v>
      </c>
    </row>
  </sheetData>
  <mergeCells count="1">
    <mergeCell ref="B2:P4"/>
  </mergeCells>
  <hyperlinks>
    <hyperlink ref="D20" r:id="rId1"/>
    <hyperlink ref="D35" r:id="rId2"/>
    <hyperlink ref="D44" r:id="rId3"/>
    <hyperlink ref="D38" r:id="rId4"/>
    <hyperlink ref="D25" r:id="rId5"/>
    <hyperlink ref="D66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1" r:id="rId18"/>
    <hyperlink ref="D22" r:id="rId19"/>
    <hyperlink ref="D23" r:id="rId20"/>
    <hyperlink ref="D24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9" r:id="rId33"/>
    <hyperlink ref="D40" r:id="rId34"/>
    <hyperlink ref="D41" r:id="rId35"/>
    <hyperlink ref="D42" r:id="rId36"/>
    <hyperlink ref="D43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7" r:id="rId59"/>
    <hyperlink ref="D68" r:id="rId60"/>
  </hyperlinks>
  <pageMargins left="0.7" right="0.7" top="0.75" bottom="0.75" header="0.3" footer="0.3"/>
  <pageSetup paperSize="9" scale="35" orientation="portrait" r:id="rId61"/>
  <tableParts count="2">
    <tablePart r:id="rId62"/>
    <tablePart r:id="rId6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AB42"/>
  <sheetViews>
    <sheetView showGridLines="0" tabSelected="1" zoomScale="55" zoomScaleNormal="55" zoomScaleSheetLayoutView="55" workbookViewId="0">
      <selection activeCell="H91" sqref="A89:H91"/>
    </sheetView>
  </sheetViews>
  <sheetFormatPr defaultRowHeight="15" x14ac:dyDescent="0.25"/>
  <cols>
    <col min="2" max="2" width="29.140625" bestFit="1" customWidth="1"/>
    <col min="3" max="4" width="16.5703125" bestFit="1" customWidth="1"/>
    <col min="5" max="5" width="12.85546875" bestFit="1" customWidth="1"/>
    <col min="6" max="6" width="15.7109375" bestFit="1" customWidth="1"/>
    <col min="7" max="7" width="16.5703125" bestFit="1" customWidth="1"/>
    <col min="8" max="8" width="21.7109375" bestFit="1" customWidth="1"/>
  </cols>
  <sheetData>
    <row r="1" spans="2:28" ht="15.75" thickBot="1" x14ac:dyDescent="0.3"/>
    <row r="2" spans="2:28" ht="15" customHeight="1" x14ac:dyDescent="0.25">
      <c r="B2" s="400" t="s">
        <v>498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2"/>
    </row>
    <row r="3" spans="2:28" ht="15" customHeight="1" x14ac:dyDescent="0.25">
      <c r="B3" s="403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5"/>
    </row>
    <row r="4" spans="2:28" ht="15.75" customHeight="1" thickBot="1" x14ac:dyDescent="0.3">
      <c r="B4" s="406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  <c r="AB4" s="408"/>
    </row>
    <row r="5" spans="2:28" ht="15.75" thickBot="1" x14ac:dyDescent="0.3"/>
    <row r="6" spans="2:28" ht="27" thickBot="1" x14ac:dyDescent="0.45">
      <c r="B6" s="394" t="s">
        <v>397</v>
      </c>
      <c r="C6" s="395"/>
      <c r="D6" s="395"/>
      <c r="E6" s="395"/>
      <c r="F6" s="395"/>
      <c r="G6" s="395"/>
      <c r="H6" s="396"/>
    </row>
    <row r="7" spans="2:28" ht="21.75" thickBot="1" x14ac:dyDescent="0.4">
      <c r="B7" s="397" t="s">
        <v>427</v>
      </c>
      <c r="C7" s="398"/>
      <c r="D7" s="398"/>
      <c r="E7" s="398"/>
      <c r="F7" s="398"/>
      <c r="G7" s="398"/>
      <c r="H7" s="399"/>
    </row>
    <row r="8" spans="2:28" ht="15.75" thickBot="1" x14ac:dyDescent="0.3">
      <c r="B8" s="25"/>
      <c r="C8" s="25"/>
      <c r="D8" s="25"/>
      <c r="E8" s="25"/>
      <c r="F8" s="25"/>
      <c r="G8" s="25"/>
      <c r="H8" s="25"/>
    </row>
    <row r="9" spans="2:28" ht="18.75" x14ac:dyDescent="0.25">
      <c r="B9" s="67"/>
      <c r="C9" s="393" t="s">
        <v>431</v>
      </c>
      <c r="D9" s="393"/>
      <c r="E9" s="393"/>
      <c r="F9" s="393"/>
      <c r="G9" s="63" t="s">
        <v>389</v>
      </c>
      <c r="H9" s="64" t="s">
        <v>428</v>
      </c>
    </row>
    <row r="10" spans="2:28" ht="18.75" x14ac:dyDescent="0.25">
      <c r="B10" s="65" t="s">
        <v>253</v>
      </c>
      <c r="C10" s="62" t="s">
        <v>400</v>
      </c>
      <c r="D10" s="62" t="s">
        <v>401</v>
      </c>
      <c r="E10" s="62" t="s">
        <v>402</v>
      </c>
      <c r="F10" s="62" t="s">
        <v>403</v>
      </c>
      <c r="G10" s="62" t="s">
        <v>404</v>
      </c>
      <c r="H10" s="66" t="s">
        <v>405</v>
      </c>
    </row>
    <row r="11" spans="2:28" x14ac:dyDescent="0.25">
      <c r="B11" s="123" t="s">
        <v>256</v>
      </c>
      <c r="C11" s="11">
        <v>9</v>
      </c>
      <c r="D11" s="11">
        <v>5</v>
      </c>
      <c r="E11" s="11">
        <v>13</v>
      </c>
      <c r="F11" s="11">
        <v>10</v>
      </c>
      <c r="G11" s="11">
        <f>SUM(Tabela14[[#This Row],[Novembro]:[Fevereiro]])</f>
        <v>37</v>
      </c>
      <c r="H11" s="28">
        <f>(Tabela14[[#This Row],[Total]]/252)*100</f>
        <v>14.682539682539684</v>
      </c>
    </row>
    <row r="12" spans="2:28" x14ac:dyDescent="0.25">
      <c r="B12" s="26" t="s">
        <v>257</v>
      </c>
      <c r="C12" s="11">
        <v>3</v>
      </c>
      <c r="D12" s="11">
        <v>11</v>
      </c>
      <c r="E12" s="11">
        <v>3</v>
      </c>
      <c r="F12" s="11">
        <v>2</v>
      </c>
      <c r="G12" s="11">
        <f>SUM(Tabela14[[#This Row],[Novembro]:[Fevereiro]])</f>
        <v>19</v>
      </c>
      <c r="H12" s="28">
        <f>(Tabela14[[#This Row],[Total]]/252)*100</f>
        <v>7.5396825396825395</v>
      </c>
    </row>
    <row r="13" spans="2:28" x14ac:dyDescent="0.25">
      <c r="B13" s="26" t="s">
        <v>285</v>
      </c>
      <c r="C13" s="29">
        <v>6</v>
      </c>
      <c r="D13" s="11">
        <v>6</v>
      </c>
      <c r="E13" s="11">
        <v>2</v>
      </c>
      <c r="F13" s="11">
        <v>5</v>
      </c>
      <c r="G13" s="11">
        <f>SUM(Tabela14[[#This Row],[Novembro]:[Fevereiro]])</f>
        <v>19</v>
      </c>
      <c r="H13" s="28">
        <f>(Tabela14[[#This Row],[Total]]/252)*100</f>
        <v>7.5396825396825395</v>
      </c>
    </row>
    <row r="14" spans="2:28" x14ac:dyDescent="0.25">
      <c r="B14" s="26" t="s">
        <v>254</v>
      </c>
      <c r="C14" s="11">
        <v>5</v>
      </c>
      <c r="D14" s="11">
        <v>2</v>
      </c>
      <c r="E14" s="11">
        <v>2</v>
      </c>
      <c r="F14" s="11">
        <v>8</v>
      </c>
      <c r="G14" s="11">
        <f>SUM(Tabela14[[#This Row],[Novembro]:[Fevereiro]])</f>
        <v>17</v>
      </c>
      <c r="H14" s="28">
        <f>(Tabela14[[#This Row],[Total]]/252)*100</f>
        <v>6.746031746031746</v>
      </c>
    </row>
    <row r="15" spans="2:28" x14ac:dyDescent="0.25">
      <c r="B15" s="26" t="s">
        <v>287</v>
      </c>
      <c r="C15" s="11">
        <v>12</v>
      </c>
      <c r="D15" s="11">
        <v>3</v>
      </c>
      <c r="E15" s="11">
        <v>2</v>
      </c>
      <c r="F15" s="11">
        <v>0</v>
      </c>
      <c r="G15" s="11">
        <f>SUM(Tabela14[[#This Row],[Novembro]:[Fevereiro]])</f>
        <v>17</v>
      </c>
      <c r="H15" s="28">
        <f>(Tabela14[[#This Row],[Total]]/252)*100</f>
        <v>6.746031746031746</v>
      </c>
    </row>
    <row r="16" spans="2:28" x14ac:dyDescent="0.25">
      <c r="B16" s="26" t="s">
        <v>380</v>
      </c>
      <c r="C16" s="11">
        <v>1</v>
      </c>
      <c r="D16" s="11">
        <v>8</v>
      </c>
      <c r="E16" s="11">
        <v>3</v>
      </c>
      <c r="F16" s="11">
        <v>2</v>
      </c>
      <c r="G16" s="11">
        <f>SUM(Tabela14[[#This Row],[Novembro]:[Fevereiro]])</f>
        <v>14</v>
      </c>
      <c r="H16" s="28">
        <f>(Tabela14[[#This Row],[Total]]/252)*100</f>
        <v>5.5555555555555554</v>
      </c>
    </row>
    <row r="17" spans="2:8" x14ac:dyDescent="0.25">
      <c r="B17" s="120" t="s">
        <v>478</v>
      </c>
      <c r="C17" s="11">
        <v>3</v>
      </c>
      <c r="D17" s="11">
        <v>3</v>
      </c>
      <c r="E17" s="11">
        <v>4</v>
      </c>
      <c r="F17" s="11">
        <v>3</v>
      </c>
      <c r="G17" s="11">
        <f>SUM(Tabela14[[#This Row],[Novembro]:[Fevereiro]])</f>
        <v>13</v>
      </c>
      <c r="H17" s="28">
        <f>(Tabela14[[#This Row],[Total]]/252)*100</f>
        <v>5.1587301587301582</v>
      </c>
    </row>
    <row r="18" spans="2:8" x14ac:dyDescent="0.25">
      <c r="B18" s="26" t="s">
        <v>309</v>
      </c>
      <c r="C18" s="11">
        <v>2</v>
      </c>
      <c r="D18" s="11">
        <v>3</v>
      </c>
      <c r="E18" s="11">
        <v>2</v>
      </c>
      <c r="F18" s="11">
        <v>3</v>
      </c>
      <c r="G18" s="11">
        <f>SUM(Tabela14[[#This Row],[Novembro]:[Fevereiro]])</f>
        <v>10</v>
      </c>
      <c r="H18" s="28">
        <f>(Tabela14[[#This Row],[Total]]/252)*100</f>
        <v>3.9682539682539679</v>
      </c>
    </row>
    <row r="19" spans="2:8" x14ac:dyDescent="0.25">
      <c r="B19" s="26" t="s">
        <v>385</v>
      </c>
      <c r="C19" s="11">
        <v>3</v>
      </c>
      <c r="D19" s="11">
        <v>3</v>
      </c>
      <c r="E19" s="11">
        <v>1</v>
      </c>
      <c r="F19" s="11">
        <v>2</v>
      </c>
      <c r="G19" s="11">
        <f>SUM(Tabela14[[#This Row],[Novembro]:[Fevereiro]])</f>
        <v>9</v>
      </c>
      <c r="H19" s="28">
        <f>(Tabela14[[#This Row],[Total]]/252)*100</f>
        <v>3.5714285714285712</v>
      </c>
    </row>
    <row r="20" spans="2:8" ht="14.25" customHeight="1" x14ac:dyDescent="0.25">
      <c r="B20" s="26" t="s">
        <v>258</v>
      </c>
      <c r="C20" s="11">
        <v>5</v>
      </c>
      <c r="D20" s="11">
        <v>3</v>
      </c>
      <c r="E20" s="11">
        <v>0</v>
      </c>
      <c r="F20" s="11">
        <v>0</v>
      </c>
      <c r="G20" s="11">
        <f>SUM(Tabela14[[#This Row],[Novembro]:[Fevereiro]])</f>
        <v>8</v>
      </c>
      <c r="H20" s="28">
        <f>(Tabela14[[#This Row],[Total]]/252)*100</f>
        <v>3.1746031746031744</v>
      </c>
    </row>
    <row r="21" spans="2:8" x14ac:dyDescent="0.25">
      <c r="B21" s="26" t="s">
        <v>295</v>
      </c>
      <c r="C21" s="11">
        <v>3</v>
      </c>
      <c r="D21" s="11">
        <v>1</v>
      </c>
      <c r="E21" s="11">
        <v>2</v>
      </c>
      <c r="F21" s="11">
        <v>1</v>
      </c>
      <c r="G21" s="11">
        <f>SUM(Tabela14[[#This Row],[Novembro]:[Fevereiro]])</f>
        <v>7</v>
      </c>
      <c r="H21" s="28">
        <f>(Tabela14[[#This Row],[Total]]/252)*100</f>
        <v>2.7777777777777777</v>
      </c>
    </row>
    <row r="22" spans="2:8" x14ac:dyDescent="0.25">
      <c r="B22" s="26" t="s">
        <v>259</v>
      </c>
      <c r="C22" s="11">
        <v>2</v>
      </c>
      <c r="D22" s="11">
        <v>4</v>
      </c>
      <c r="E22" s="11">
        <v>1</v>
      </c>
      <c r="F22" s="11">
        <v>0</v>
      </c>
      <c r="G22" s="11">
        <f>SUM(Tabela14[[#This Row],[Novembro]:[Fevereiro]])</f>
        <v>7</v>
      </c>
      <c r="H22" s="28">
        <f>(Tabela14[[#This Row],[Total]]/252)*100</f>
        <v>2.7777777777777777</v>
      </c>
    </row>
    <row r="23" spans="2:8" x14ac:dyDescent="0.25">
      <c r="B23" s="26" t="s">
        <v>321</v>
      </c>
      <c r="C23" s="11">
        <v>0</v>
      </c>
      <c r="D23" s="11">
        <v>4</v>
      </c>
      <c r="E23" s="11">
        <v>2</v>
      </c>
      <c r="F23" s="11">
        <v>1</v>
      </c>
      <c r="G23" s="11">
        <f>SUM(Tabela14[[#This Row],[Novembro]:[Fevereiro]])</f>
        <v>7</v>
      </c>
      <c r="H23" s="28">
        <f>(Tabela14[[#This Row],[Total]]/252)*100</f>
        <v>2.7777777777777777</v>
      </c>
    </row>
    <row r="24" spans="2:8" x14ac:dyDescent="0.25">
      <c r="B24" s="26" t="s">
        <v>314</v>
      </c>
      <c r="C24" s="11">
        <v>0</v>
      </c>
      <c r="D24" s="11">
        <v>1</v>
      </c>
      <c r="E24" s="11">
        <v>3</v>
      </c>
      <c r="F24" s="11">
        <v>3</v>
      </c>
      <c r="G24" s="11">
        <f>SUM(Tabela14[[#This Row],[Novembro]:[Fevereiro]])</f>
        <v>7</v>
      </c>
      <c r="H24" s="28">
        <f>(Tabela14[[#This Row],[Total]]/252)*100</f>
        <v>2.7777777777777777</v>
      </c>
    </row>
    <row r="25" spans="2:8" x14ac:dyDescent="0.25">
      <c r="B25" s="26" t="s">
        <v>337</v>
      </c>
      <c r="C25" s="11">
        <v>0</v>
      </c>
      <c r="D25" s="11">
        <v>2</v>
      </c>
      <c r="E25" s="11">
        <v>3</v>
      </c>
      <c r="F25" s="11">
        <v>1</v>
      </c>
      <c r="G25" s="11">
        <f>SUM(Tabela14[[#This Row],[Novembro]:[Fevereiro]])</f>
        <v>6</v>
      </c>
      <c r="H25" s="28">
        <f>(Tabela14[[#This Row],[Total]]/252)*100</f>
        <v>2.3809523809523809</v>
      </c>
    </row>
    <row r="26" spans="2:8" x14ac:dyDescent="0.25">
      <c r="B26" s="26" t="s">
        <v>344</v>
      </c>
      <c r="C26" s="11">
        <v>0</v>
      </c>
      <c r="D26" s="11">
        <v>1</v>
      </c>
      <c r="E26" s="11">
        <v>2</v>
      </c>
      <c r="F26" s="11">
        <v>3</v>
      </c>
      <c r="G26" s="11">
        <f>SUM(Tabela14[[#This Row],[Novembro]:[Fevereiro]])</f>
        <v>6</v>
      </c>
      <c r="H26" s="28">
        <f>(Tabela14[[#This Row],[Total]]/252)*100</f>
        <v>2.3809523809523809</v>
      </c>
    </row>
    <row r="27" spans="2:8" x14ac:dyDescent="0.25">
      <c r="B27" s="26" t="s">
        <v>312</v>
      </c>
      <c r="C27" s="11">
        <v>0</v>
      </c>
      <c r="D27" s="11">
        <v>1</v>
      </c>
      <c r="E27" s="11">
        <v>2</v>
      </c>
      <c r="F27" s="11">
        <v>3</v>
      </c>
      <c r="G27" s="11">
        <f>SUM(Tabela14[[#This Row],[Novembro]:[Fevereiro]])</f>
        <v>6</v>
      </c>
      <c r="H27" s="28">
        <f>(Tabela14[[#This Row],[Total]]/252)*100</f>
        <v>2.3809523809523809</v>
      </c>
    </row>
    <row r="28" spans="2:8" x14ac:dyDescent="0.25">
      <c r="B28" s="26" t="s">
        <v>334</v>
      </c>
      <c r="C28" s="11">
        <v>1</v>
      </c>
      <c r="D28" s="11">
        <v>0</v>
      </c>
      <c r="E28" s="11">
        <v>1</v>
      </c>
      <c r="F28" s="11">
        <v>3</v>
      </c>
      <c r="G28" s="11">
        <f>SUM(Tabela14[[#This Row],[Novembro]:[Fevereiro]])</f>
        <v>5</v>
      </c>
      <c r="H28" s="28">
        <f>(Tabela14[[#This Row],[Total]]/252)*100</f>
        <v>1.984126984126984</v>
      </c>
    </row>
    <row r="29" spans="2:8" x14ac:dyDescent="0.25">
      <c r="B29" s="26" t="s">
        <v>318</v>
      </c>
      <c r="C29" s="11">
        <v>0</v>
      </c>
      <c r="D29" s="11">
        <v>1</v>
      </c>
      <c r="E29" s="11">
        <v>3</v>
      </c>
      <c r="F29" s="11">
        <v>0</v>
      </c>
      <c r="G29" s="11">
        <f>SUM(Tabela14[[#This Row],[Novembro]:[Fevereiro]])</f>
        <v>4</v>
      </c>
      <c r="H29" s="28">
        <f>(Tabela14[[#This Row],[Total]]/252)*100</f>
        <v>1.5873015873015872</v>
      </c>
    </row>
    <row r="30" spans="2:8" x14ac:dyDescent="0.25">
      <c r="B30" s="26" t="s">
        <v>359</v>
      </c>
      <c r="C30" s="11">
        <v>0</v>
      </c>
      <c r="D30" s="11">
        <v>4</v>
      </c>
      <c r="E30" s="11">
        <v>0</v>
      </c>
      <c r="F30" s="11">
        <v>0</v>
      </c>
      <c r="G30" s="11">
        <f>SUM(Tabela14[[#This Row],[Novembro]:[Fevereiro]])</f>
        <v>4</v>
      </c>
      <c r="H30" s="28">
        <f>(Tabela14[[#This Row],[Total]]/252)*100</f>
        <v>1.5873015873015872</v>
      </c>
    </row>
    <row r="31" spans="2:8" x14ac:dyDescent="0.25">
      <c r="B31" s="26" t="s">
        <v>384</v>
      </c>
      <c r="C31" s="11">
        <v>0</v>
      </c>
      <c r="D31" s="11">
        <v>0</v>
      </c>
      <c r="E31" s="11">
        <v>3</v>
      </c>
      <c r="F31" s="11">
        <v>1</v>
      </c>
      <c r="G31" s="11">
        <f>SUM(Tabela14[[#This Row],[Novembro]:[Fevereiro]])</f>
        <v>4</v>
      </c>
      <c r="H31" s="28">
        <f>(Tabela14[[#This Row],[Total]]/252)*100</f>
        <v>1.5873015873015872</v>
      </c>
    </row>
    <row r="32" spans="2:8" x14ac:dyDescent="0.25">
      <c r="B32" s="26" t="s">
        <v>294</v>
      </c>
      <c r="C32" s="11">
        <v>1</v>
      </c>
      <c r="D32" s="11">
        <v>0</v>
      </c>
      <c r="E32" s="11">
        <v>0</v>
      </c>
      <c r="F32" s="11">
        <v>2</v>
      </c>
      <c r="G32" s="11">
        <f>SUM(Tabela14[[#This Row],[Novembro]:[Fevereiro]])</f>
        <v>3</v>
      </c>
      <c r="H32" s="28">
        <f>(Tabela14[[#This Row],[Total]]/252)*100</f>
        <v>1.1904761904761905</v>
      </c>
    </row>
    <row r="33" spans="2:8" x14ac:dyDescent="0.25">
      <c r="B33" s="26" t="s">
        <v>365</v>
      </c>
      <c r="C33" s="11">
        <v>0</v>
      </c>
      <c r="D33" s="11">
        <v>2</v>
      </c>
      <c r="E33" s="11">
        <v>0</v>
      </c>
      <c r="F33" s="11">
        <v>1</v>
      </c>
      <c r="G33" s="11">
        <f>SUM(Tabela14[[#This Row],[Novembro]:[Fevereiro]])</f>
        <v>3</v>
      </c>
      <c r="H33" s="28">
        <f>(Tabela14[[#This Row],[Total]]/252)*100</f>
        <v>1.1904761904761905</v>
      </c>
    </row>
    <row r="34" spans="2:8" x14ac:dyDescent="0.25">
      <c r="B34" s="26" t="s">
        <v>364</v>
      </c>
      <c r="C34" s="11">
        <v>0</v>
      </c>
      <c r="D34" s="11">
        <v>2</v>
      </c>
      <c r="E34" s="11">
        <v>1</v>
      </c>
      <c r="F34" s="11">
        <v>0</v>
      </c>
      <c r="G34" s="11">
        <f>SUM(Tabela14[[#This Row],[Novembro]:[Fevereiro]])</f>
        <v>3</v>
      </c>
      <c r="H34" s="28">
        <f>(Tabela14[[#This Row],[Total]]/252)*100</f>
        <v>1.1904761904761905</v>
      </c>
    </row>
    <row r="35" spans="2:8" x14ac:dyDescent="0.25">
      <c r="B35" s="26" t="s">
        <v>391</v>
      </c>
      <c r="C35" s="11">
        <v>1</v>
      </c>
      <c r="D35" s="11">
        <v>0</v>
      </c>
      <c r="E35" s="11">
        <v>0</v>
      </c>
      <c r="F35" s="11">
        <v>2</v>
      </c>
      <c r="G35" s="11">
        <f>SUM(Tabela14[[#This Row],[Novembro]:[Fevereiro]])</f>
        <v>3</v>
      </c>
      <c r="H35" s="28">
        <f>(Tabela14[[#This Row],[Total]]/252)*100</f>
        <v>1.1904761904761905</v>
      </c>
    </row>
    <row r="36" spans="2:8" x14ac:dyDescent="0.25">
      <c r="B36" s="26" t="s">
        <v>388</v>
      </c>
      <c r="C36" s="11">
        <v>0</v>
      </c>
      <c r="D36" s="11">
        <v>0</v>
      </c>
      <c r="E36" s="11">
        <v>1</v>
      </c>
      <c r="F36" s="11">
        <v>2</v>
      </c>
      <c r="G36" s="11">
        <f>SUM(Tabela14[[#This Row],[Novembro]:[Fevereiro]])</f>
        <v>3</v>
      </c>
      <c r="H36" s="28">
        <f>(Tabela14[[#This Row],[Total]]/252)*100</f>
        <v>1.1904761904761905</v>
      </c>
    </row>
    <row r="37" spans="2:8" x14ac:dyDescent="0.25">
      <c r="B37" s="26" t="s">
        <v>340</v>
      </c>
      <c r="C37" s="11">
        <v>0</v>
      </c>
      <c r="D37" s="11">
        <v>0</v>
      </c>
      <c r="E37" s="11">
        <v>2</v>
      </c>
      <c r="F37" s="11">
        <v>1</v>
      </c>
      <c r="G37" s="11">
        <f>SUM(Tabela14[[#This Row],[Novembro]:[Fevereiro]])</f>
        <v>3</v>
      </c>
      <c r="H37" s="28">
        <f>(Tabela14[[#This Row],[Total]]/252)*100</f>
        <v>1.1904761904761905</v>
      </c>
    </row>
    <row r="38" spans="2:8" x14ac:dyDescent="0.25">
      <c r="B38" s="26" t="s">
        <v>298</v>
      </c>
      <c r="C38" s="11">
        <v>1</v>
      </c>
      <c r="D38" s="11">
        <v>0</v>
      </c>
      <c r="E38" s="11">
        <v>1</v>
      </c>
      <c r="F38" s="11">
        <v>0</v>
      </c>
      <c r="G38" s="11">
        <f>SUM(Tabela14[[#This Row],[Novembro]:[Fevereiro]])</f>
        <v>2</v>
      </c>
      <c r="H38" s="28">
        <f>(Tabela14[[#This Row],[Total]]/252)*100</f>
        <v>0.79365079365079361</v>
      </c>
    </row>
    <row r="39" spans="2:8" x14ac:dyDescent="0.25">
      <c r="B39" s="26" t="s">
        <v>282</v>
      </c>
      <c r="C39" s="11">
        <v>2</v>
      </c>
      <c r="D39" s="11">
        <v>0</v>
      </c>
      <c r="E39" s="11">
        <v>0</v>
      </c>
      <c r="F39" s="11">
        <v>0</v>
      </c>
      <c r="G39" s="11">
        <f>SUM(Tabela14[[#This Row],[Novembro]:[Fevereiro]])</f>
        <v>2</v>
      </c>
      <c r="H39" s="28">
        <f>(Tabela14[[#This Row],[Total]]/252)*100</f>
        <v>0.79365079365079361</v>
      </c>
    </row>
    <row r="40" spans="2:8" x14ac:dyDescent="0.25">
      <c r="B40" s="26" t="s">
        <v>331</v>
      </c>
      <c r="C40" s="29">
        <v>0</v>
      </c>
      <c r="D40" s="11">
        <v>2</v>
      </c>
      <c r="E40" s="11">
        <v>0</v>
      </c>
      <c r="F40" s="11">
        <v>0</v>
      </c>
      <c r="G40" s="11">
        <f>SUM(Tabela14[[#This Row],[Novembro]:[Fevereiro]])</f>
        <v>2</v>
      </c>
      <c r="H40" s="28">
        <f>(Tabela14[[#This Row],[Total]]/252)*100</f>
        <v>0.79365079365079361</v>
      </c>
    </row>
    <row r="41" spans="2:8" x14ac:dyDescent="0.25">
      <c r="B41" s="26" t="s">
        <v>284</v>
      </c>
      <c r="C41" s="11">
        <v>1</v>
      </c>
      <c r="D41" s="40">
        <v>0</v>
      </c>
      <c r="E41" s="11">
        <v>0</v>
      </c>
      <c r="F41" s="11">
        <v>0</v>
      </c>
      <c r="G41" s="11">
        <v>1</v>
      </c>
      <c r="H41" s="28">
        <f>(Tabela14[[#This Row],[Total]]/252)*100</f>
        <v>0.3968253968253968</v>
      </c>
    </row>
    <row r="42" spans="2:8" ht="15.75" thickBot="1" x14ac:dyDescent="0.3">
      <c r="B42" s="27" t="s">
        <v>349</v>
      </c>
      <c r="C42" s="30">
        <v>0</v>
      </c>
      <c r="D42" s="30">
        <v>0</v>
      </c>
      <c r="E42" s="30">
        <v>0</v>
      </c>
      <c r="F42" s="30">
        <v>1</v>
      </c>
      <c r="G42" s="30">
        <f>SUM(Tabela14[[#This Row],[Novembro]:[Fevereiro]])</f>
        <v>1</v>
      </c>
      <c r="H42" s="31">
        <f>(Tabela14[[#This Row],[Total]]/252)*100</f>
        <v>0.3968253968253968</v>
      </c>
    </row>
  </sheetData>
  <mergeCells count="4">
    <mergeCell ref="C9:F9"/>
    <mergeCell ref="B6:H6"/>
    <mergeCell ref="B7:H7"/>
    <mergeCell ref="B2:AB4"/>
  </mergeCells>
  <pageMargins left="0.7" right="0.7" top="0.75" bottom="0.75" header="0.3" footer="0.3"/>
  <pageSetup paperSize="9" scale="26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46"/>
  <sheetViews>
    <sheetView showGridLines="0" zoomScale="55" zoomScaleNormal="55" zoomScaleSheetLayoutView="55" workbookViewId="0">
      <selection activeCell="D48" sqref="A48:D48"/>
    </sheetView>
  </sheetViews>
  <sheetFormatPr defaultRowHeight="15" x14ac:dyDescent="0.25"/>
  <cols>
    <col min="2" max="2" width="33.7109375" bestFit="1" customWidth="1"/>
    <col min="3" max="4" width="24.85546875" bestFit="1" customWidth="1"/>
    <col min="5" max="5" width="21.140625" bestFit="1" customWidth="1"/>
    <col min="6" max="6" width="24" bestFit="1" customWidth="1"/>
    <col min="7" max="8" width="17.85546875" customWidth="1"/>
    <col min="10" max="10" width="43.42578125" customWidth="1"/>
    <col min="12" max="12" width="19.5703125" customWidth="1"/>
  </cols>
  <sheetData>
    <row r="1" spans="2:28" ht="15.75" thickBot="1" x14ac:dyDescent="0.3"/>
    <row r="2" spans="2:28" x14ac:dyDescent="0.25">
      <c r="B2" s="400" t="s">
        <v>499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2"/>
    </row>
    <row r="3" spans="2:28" x14ac:dyDescent="0.25">
      <c r="B3" s="403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  <c r="AA3" s="404"/>
      <c r="AB3" s="405"/>
    </row>
    <row r="4" spans="2:28" ht="15.75" thickBot="1" x14ac:dyDescent="0.3">
      <c r="B4" s="406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  <c r="AB4" s="408"/>
    </row>
    <row r="5" spans="2:28" ht="15.75" thickBot="1" x14ac:dyDescent="0.3"/>
    <row r="6" spans="2:28" ht="27" thickBot="1" x14ac:dyDescent="0.45">
      <c r="B6" s="394" t="s">
        <v>397</v>
      </c>
      <c r="C6" s="395"/>
      <c r="D6" s="395"/>
      <c r="E6" s="395"/>
      <c r="F6" s="395"/>
      <c r="G6" s="395"/>
      <c r="H6" s="396"/>
    </row>
    <row r="7" spans="2:28" s="24" customFormat="1" ht="21.75" thickBot="1" x14ac:dyDescent="0.4">
      <c r="B7" s="397" t="s">
        <v>429</v>
      </c>
      <c r="C7" s="398"/>
      <c r="D7" s="398"/>
      <c r="E7" s="398"/>
      <c r="F7" s="398"/>
      <c r="G7" s="398"/>
      <c r="H7" s="399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2:28" ht="15.75" thickBot="1" x14ac:dyDescent="0.3">
      <c r="B8" s="9"/>
      <c r="C8" s="7"/>
      <c r="D8" s="7"/>
      <c r="E8" s="7"/>
      <c r="F8" s="7"/>
      <c r="G8" s="7"/>
      <c r="H8" s="8"/>
    </row>
    <row r="9" spans="2:28" ht="18.75" x14ac:dyDescent="0.25">
      <c r="B9" s="67"/>
      <c r="C9" s="393" t="s">
        <v>430</v>
      </c>
      <c r="D9" s="393"/>
      <c r="E9" s="393"/>
      <c r="F9" s="393"/>
      <c r="G9" s="77" t="s">
        <v>389</v>
      </c>
      <c r="H9" s="64" t="s">
        <v>428</v>
      </c>
    </row>
    <row r="10" spans="2:28" ht="18.75" x14ac:dyDescent="0.25">
      <c r="B10" s="65" t="s">
        <v>260</v>
      </c>
      <c r="C10" s="62" t="s">
        <v>400</v>
      </c>
      <c r="D10" s="62" t="s">
        <v>401</v>
      </c>
      <c r="E10" s="62" t="s">
        <v>402</v>
      </c>
      <c r="F10" s="62" t="s">
        <v>403</v>
      </c>
      <c r="G10" s="62" t="s">
        <v>404</v>
      </c>
      <c r="H10" s="66" t="s">
        <v>405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2:28" x14ac:dyDescent="0.25">
      <c r="B11" s="26" t="s">
        <v>423</v>
      </c>
      <c r="C11" s="11">
        <v>43</v>
      </c>
      <c r="D11" s="11">
        <v>60</v>
      </c>
      <c r="E11" s="11">
        <v>48</v>
      </c>
      <c r="F11" s="11">
        <v>39</v>
      </c>
      <c r="G11" s="11">
        <f>+SUM(Tabela3[[#This Row],[Novembro]:[Fevereiro]])</f>
        <v>190</v>
      </c>
      <c r="H11" s="28">
        <f>+(Tabela3[[#This Row],[Total]]/252)*100</f>
        <v>75.396825396825392</v>
      </c>
    </row>
    <row r="12" spans="2:28" x14ac:dyDescent="0.25">
      <c r="B12" s="26" t="s">
        <v>410</v>
      </c>
      <c r="C12" s="11">
        <v>1</v>
      </c>
      <c r="D12" s="11">
        <v>5</v>
      </c>
      <c r="E12" s="11">
        <v>0</v>
      </c>
      <c r="F12" s="11">
        <v>5</v>
      </c>
      <c r="G12" s="11">
        <f>+SUM(Tabela3[[#This Row],[Novembro]:[Fevereiro]])</f>
        <v>11</v>
      </c>
      <c r="H12" s="28">
        <f>+(Tabela3[[#This Row],[Total]]/252)*100</f>
        <v>4.3650793650793647</v>
      </c>
    </row>
    <row r="13" spans="2:28" x14ac:dyDescent="0.25">
      <c r="B13" s="26" t="s">
        <v>286</v>
      </c>
      <c r="C13" s="29">
        <v>3</v>
      </c>
      <c r="D13" s="11">
        <v>4</v>
      </c>
      <c r="E13" s="11">
        <v>2</v>
      </c>
      <c r="F13" s="11">
        <v>1</v>
      </c>
      <c r="G13" s="11">
        <f>+SUM(Tabela3[[#This Row],[Novembro]:[Fevereiro]])</f>
        <v>10</v>
      </c>
      <c r="H13" s="28">
        <f>+(Tabela3[[#This Row],[Total]]/252)*100</f>
        <v>3.9682539682539679</v>
      </c>
    </row>
    <row r="14" spans="2:28" ht="15.75" x14ac:dyDescent="0.25">
      <c r="B14" s="26" t="s">
        <v>408</v>
      </c>
      <c r="C14" s="11">
        <v>0</v>
      </c>
      <c r="D14" s="11">
        <v>0</v>
      </c>
      <c r="E14" s="11">
        <v>3</v>
      </c>
      <c r="F14" s="11">
        <v>3</v>
      </c>
      <c r="G14" s="11">
        <f>+SUM(Tabela3[[#This Row],[Novembro]:[Fevereiro]])</f>
        <v>6</v>
      </c>
      <c r="H14" s="28">
        <f>+(Tabela3[[#This Row],[Total]]/252)*100</f>
        <v>2.3809523809523809</v>
      </c>
      <c r="J14" s="22"/>
    </row>
    <row r="15" spans="2:28" x14ac:dyDescent="0.25">
      <c r="B15" s="26" t="s">
        <v>416</v>
      </c>
      <c r="C15" s="11">
        <v>6</v>
      </c>
      <c r="D15" s="11">
        <v>0</v>
      </c>
      <c r="E15" s="11">
        <v>0</v>
      </c>
      <c r="F15" s="11">
        <v>0</v>
      </c>
      <c r="G15" s="11">
        <f>+SUM(Tabela3[[#This Row],[Novembro]:[Fevereiro]])</f>
        <v>6</v>
      </c>
      <c r="H15" s="28">
        <f>+(Tabela3[[#This Row],[Total]]/252)*100</f>
        <v>2.3809523809523809</v>
      </c>
    </row>
    <row r="16" spans="2:28" x14ac:dyDescent="0.25">
      <c r="B16" s="26" t="s">
        <v>417</v>
      </c>
      <c r="C16" s="11">
        <v>2</v>
      </c>
      <c r="D16" s="11">
        <v>0</v>
      </c>
      <c r="E16" s="11">
        <v>3</v>
      </c>
      <c r="F16" s="11">
        <v>0</v>
      </c>
      <c r="G16" s="11">
        <f>+SUM(Tabela3[[#This Row],[Novembro]:[Fevereiro]])</f>
        <v>5</v>
      </c>
      <c r="H16" s="28">
        <f>+(Tabela3[[#This Row],[Total]]/252)*100</f>
        <v>1.984126984126984</v>
      </c>
    </row>
    <row r="17" spans="2:10" x14ac:dyDescent="0.25">
      <c r="B17" s="26" t="s">
        <v>418</v>
      </c>
      <c r="C17" s="11">
        <v>1</v>
      </c>
      <c r="D17" s="11">
        <v>0</v>
      </c>
      <c r="E17" s="11">
        <v>0</v>
      </c>
      <c r="F17" s="11">
        <v>3</v>
      </c>
      <c r="G17" s="11">
        <f>+SUM(Tabela3[[#This Row],[Novembro]:[Fevereiro]])</f>
        <v>4</v>
      </c>
      <c r="H17" s="28">
        <f>+(Tabela3[[#This Row],[Total]]/252)*100</f>
        <v>1.5873015873015872</v>
      </c>
      <c r="J17" s="23"/>
    </row>
    <row r="18" spans="2:10" x14ac:dyDescent="0.25">
      <c r="B18" s="26" t="s">
        <v>422</v>
      </c>
      <c r="C18" s="11">
        <v>1</v>
      </c>
      <c r="D18" s="11">
        <v>0</v>
      </c>
      <c r="E18" s="11">
        <v>0</v>
      </c>
      <c r="F18" s="11">
        <v>3</v>
      </c>
      <c r="G18" s="11">
        <f>+SUM(Tabela3[[#This Row],[Novembro]:[Fevereiro]])</f>
        <v>4</v>
      </c>
      <c r="H18" s="28">
        <f>+(Tabela3[[#This Row],[Total]]/252)*100</f>
        <v>1.5873015873015872</v>
      </c>
      <c r="J18" s="23"/>
    </row>
    <row r="19" spans="2:10" x14ac:dyDescent="0.25">
      <c r="B19" s="26" t="s">
        <v>407</v>
      </c>
      <c r="C19" s="11">
        <v>0</v>
      </c>
      <c r="D19" s="11">
        <v>1</v>
      </c>
      <c r="E19" s="11">
        <v>1</v>
      </c>
      <c r="F19" s="11">
        <v>0</v>
      </c>
      <c r="G19" s="11">
        <f>+SUM(Tabela3[[#This Row],[Novembro]:[Fevereiro]])</f>
        <v>2</v>
      </c>
      <c r="H19" s="28">
        <f>+(Tabela3[[#This Row],[Total]]/252)*100</f>
        <v>0.79365079365079361</v>
      </c>
      <c r="J19" s="23"/>
    </row>
    <row r="20" spans="2:10" x14ac:dyDescent="0.25">
      <c r="B20" s="26" t="s">
        <v>409</v>
      </c>
      <c r="C20" s="11">
        <v>0</v>
      </c>
      <c r="D20" s="11">
        <v>0</v>
      </c>
      <c r="E20" s="11">
        <v>1</v>
      </c>
      <c r="F20" s="11">
        <v>1</v>
      </c>
      <c r="G20" s="11">
        <f>+SUM(Tabela3[[#This Row],[Novembro]:[Fevereiro]])</f>
        <v>2</v>
      </c>
      <c r="H20" s="28">
        <f>+(Tabela3[[#This Row],[Total]]/252)*100</f>
        <v>0.79365079365079361</v>
      </c>
      <c r="J20" s="23"/>
    </row>
    <row r="21" spans="2:10" x14ac:dyDescent="0.25">
      <c r="B21" s="26" t="s">
        <v>335</v>
      </c>
      <c r="C21" s="11">
        <v>0</v>
      </c>
      <c r="D21" s="11">
        <v>0</v>
      </c>
      <c r="E21" s="11">
        <v>1</v>
      </c>
      <c r="F21" s="11">
        <v>1</v>
      </c>
      <c r="G21" s="11">
        <f>+SUM(Tabela3[[#This Row],[Novembro]:[Fevereiro]])</f>
        <v>2</v>
      </c>
      <c r="H21" s="28">
        <f>+(Tabela3[[#This Row],[Total]]/252)*100</f>
        <v>0.79365079365079361</v>
      </c>
    </row>
    <row r="22" spans="2:10" x14ac:dyDescent="0.25">
      <c r="B22" s="26" t="s">
        <v>406</v>
      </c>
      <c r="C22" s="11">
        <v>1</v>
      </c>
      <c r="D22" s="128">
        <v>0</v>
      </c>
      <c r="E22" s="128">
        <v>0</v>
      </c>
      <c r="F22" s="11">
        <v>0</v>
      </c>
      <c r="G22" s="11">
        <f>+SUM(Tabela3[[#This Row],[Novembro]:[Fevereiro]])</f>
        <v>1</v>
      </c>
      <c r="H22" s="28">
        <f>+(Tabela3[[#This Row],[Total]]/252)*100</f>
        <v>0.3968253968253968</v>
      </c>
    </row>
    <row r="23" spans="2:10" x14ac:dyDescent="0.25">
      <c r="B23" s="26" t="s">
        <v>411</v>
      </c>
      <c r="C23" s="11">
        <v>0</v>
      </c>
      <c r="D23" s="11">
        <v>1</v>
      </c>
      <c r="E23" s="11">
        <v>0</v>
      </c>
      <c r="F23" s="11">
        <v>0</v>
      </c>
      <c r="G23" s="11">
        <f>+SUM(Tabela3[[#This Row],[Novembro]:[Fevereiro]])</f>
        <v>1</v>
      </c>
      <c r="H23" s="28">
        <f>+(Tabela3[[#This Row],[Total]]/252)*100</f>
        <v>0.3968253968253968</v>
      </c>
    </row>
    <row r="24" spans="2:10" x14ac:dyDescent="0.25">
      <c r="B24" s="26" t="s">
        <v>412</v>
      </c>
      <c r="C24" s="11">
        <v>0</v>
      </c>
      <c r="D24" s="11">
        <v>1</v>
      </c>
      <c r="E24" s="11">
        <v>0</v>
      </c>
      <c r="F24" s="11">
        <v>0</v>
      </c>
      <c r="G24" s="11">
        <f>+SUM(Tabela3[[#This Row],[Novembro]:[Fevereiro]])</f>
        <v>1</v>
      </c>
      <c r="H24" s="28">
        <f>+(Tabela3[[#This Row],[Total]]/252)*100</f>
        <v>0.3968253968253968</v>
      </c>
    </row>
    <row r="25" spans="2:10" x14ac:dyDescent="0.25">
      <c r="B25" s="26" t="s">
        <v>413</v>
      </c>
      <c r="C25" s="11">
        <v>0</v>
      </c>
      <c r="D25" s="11">
        <v>0</v>
      </c>
      <c r="E25" s="11">
        <v>0</v>
      </c>
      <c r="F25" s="11">
        <v>1</v>
      </c>
      <c r="G25" s="11">
        <f>+SUM(Tabela3[[#This Row],[Novembro]:[Fevereiro]])</f>
        <v>1</v>
      </c>
      <c r="H25" s="28">
        <f>+(Tabela3[[#This Row],[Total]]/252)*100</f>
        <v>0.3968253968253968</v>
      </c>
    </row>
    <row r="26" spans="2:10" x14ac:dyDescent="0.25">
      <c r="B26" s="26" t="s">
        <v>414</v>
      </c>
      <c r="C26" s="11">
        <v>0</v>
      </c>
      <c r="D26" s="11">
        <v>0</v>
      </c>
      <c r="E26" s="11">
        <v>0</v>
      </c>
      <c r="F26" s="11">
        <v>1</v>
      </c>
      <c r="G26" s="11">
        <f>+SUM(Tabela3[[#This Row],[Novembro]:[Fevereiro]])</f>
        <v>1</v>
      </c>
      <c r="H26" s="28">
        <f>+(Tabela3[[#This Row],[Total]]/252)*100</f>
        <v>0.3968253968253968</v>
      </c>
    </row>
    <row r="27" spans="2:10" x14ac:dyDescent="0.25">
      <c r="B27" s="26" t="s">
        <v>415</v>
      </c>
      <c r="C27" s="11">
        <v>0</v>
      </c>
      <c r="D27" s="11">
        <v>0</v>
      </c>
      <c r="E27" s="11">
        <v>0</v>
      </c>
      <c r="F27" s="11">
        <v>1</v>
      </c>
      <c r="G27" s="11">
        <f>+SUM(Tabela3[[#This Row],[Novembro]:[Fevereiro]])</f>
        <v>1</v>
      </c>
      <c r="H27" s="28">
        <f>+(Tabela3[[#This Row],[Total]]/252)*100</f>
        <v>0.3968253968253968</v>
      </c>
    </row>
    <row r="28" spans="2:10" x14ac:dyDescent="0.25">
      <c r="B28" s="26" t="s">
        <v>297</v>
      </c>
      <c r="C28" s="11">
        <v>1</v>
      </c>
      <c r="D28" s="11">
        <v>0</v>
      </c>
      <c r="E28" s="11">
        <v>0</v>
      </c>
      <c r="F28" s="11">
        <v>0</v>
      </c>
      <c r="G28" s="11">
        <f>+SUM(Tabela3[[#This Row],[Novembro]:[Fevereiro]])</f>
        <v>1</v>
      </c>
      <c r="H28" s="28">
        <f>+(Tabela3[[#This Row],[Total]]/252)*100</f>
        <v>0.3968253968253968</v>
      </c>
    </row>
    <row r="29" spans="2:10" x14ac:dyDescent="0.25">
      <c r="B29" s="26" t="s">
        <v>419</v>
      </c>
      <c r="C29" s="11">
        <v>1</v>
      </c>
      <c r="D29" s="11">
        <v>0</v>
      </c>
      <c r="E29" s="11">
        <v>0</v>
      </c>
      <c r="F29" s="11">
        <v>0</v>
      </c>
      <c r="G29" s="11">
        <f>+SUM(Tabela3[[#This Row],[Novembro]:[Fevereiro]])</f>
        <v>1</v>
      </c>
      <c r="H29" s="28">
        <f>+(Tabela3[[#This Row],[Total]]/252)*100</f>
        <v>0.3968253968253968</v>
      </c>
    </row>
    <row r="30" spans="2:10" x14ac:dyDescent="0.25">
      <c r="B30" s="26" t="s">
        <v>420</v>
      </c>
      <c r="C30" s="11">
        <v>1</v>
      </c>
      <c r="D30" s="11">
        <v>0</v>
      </c>
      <c r="E30" s="11">
        <v>0</v>
      </c>
      <c r="F30" s="11">
        <v>0</v>
      </c>
      <c r="G30" s="11">
        <f>+SUM(Tabela3[[#This Row],[Novembro]:[Fevereiro]])</f>
        <v>1</v>
      </c>
      <c r="H30" s="28">
        <f>+(Tabela3[[#This Row],[Total]]/252)*100</f>
        <v>0.3968253968253968</v>
      </c>
    </row>
    <row r="31" spans="2:10" ht="15.75" thickBot="1" x14ac:dyDescent="0.3">
      <c r="B31" s="27" t="s">
        <v>421</v>
      </c>
      <c r="C31" s="30">
        <v>0</v>
      </c>
      <c r="D31" s="30">
        <v>0</v>
      </c>
      <c r="E31" s="30">
        <v>0</v>
      </c>
      <c r="F31" s="30">
        <v>1</v>
      </c>
      <c r="G31" s="30">
        <f>+SUM(Tabela3[[#This Row],[Novembro]:[Fevereiro]])</f>
        <v>1</v>
      </c>
      <c r="H31" s="31">
        <f>+(Tabela3[[#This Row],[Total]]/252)*100</f>
        <v>0.3968253968253968</v>
      </c>
    </row>
    <row r="32" spans="2:10" x14ac:dyDescent="0.25">
      <c r="B32" s="32"/>
      <c r="C32" s="11"/>
      <c r="D32" s="11"/>
      <c r="E32" s="11"/>
      <c r="F32" s="11"/>
      <c r="G32" s="11"/>
      <c r="H32" s="11"/>
    </row>
    <row r="33" spans="1:9" x14ac:dyDescent="0.25">
      <c r="A33" s="7"/>
      <c r="B33" s="32"/>
      <c r="C33" s="11"/>
      <c r="D33" s="11"/>
      <c r="E33" s="11"/>
      <c r="F33" s="11"/>
      <c r="G33" s="11"/>
      <c r="H33" s="11"/>
      <c r="I33" s="7"/>
    </row>
    <row r="34" spans="1:9" x14ac:dyDescent="0.25">
      <c r="A34" s="7"/>
      <c r="B34" s="32"/>
      <c r="C34" s="11"/>
      <c r="D34" s="11"/>
      <c r="E34" s="11"/>
      <c r="F34" s="11"/>
      <c r="G34" s="11"/>
      <c r="H34" s="11"/>
      <c r="I34" s="7"/>
    </row>
    <row r="35" spans="1:9" x14ac:dyDescent="0.25">
      <c r="A35" s="7"/>
      <c r="B35" s="32"/>
      <c r="C35" s="11"/>
      <c r="D35" s="11"/>
      <c r="E35" s="11"/>
      <c r="F35" s="11"/>
      <c r="G35" s="11"/>
      <c r="H35" s="11"/>
      <c r="I35" s="7"/>
    </row>
    <row r="36" spans="1:9" x14ac:dyDescent="0.25">
      <c r="A36" s="7"/>
      <c r="B36" s="32"/>
      <c r="C36" s="11"/>
      <c r="D36" s="11"/>
      <c r="E36" s="11"/>
      <c r="F36" s="11"/>
      <c r="G36" s="11"/>
      <c r="H36" s="11"/>
      <c r="I36" s="7"/>
    </row>
    <row r="37" spans="1:9" x14ac:dyDescent="0.25">
      <c r="A37" s="7"/>
      <c r="B37" s="32"/>
      <c r="C37" s="11"/>
      <c r="D37" s="11"/>
      <c r="E37" s="11"/>
      <c r="F37" s="11"/>
      <c r="G37" s="11"/>
      <c r="H37" s="11"/>
      <c r="I37" s="7"/>
    </row>
    <row r="38" spans="1:9" x14ac:dyDescent="0.25">
      <c r="A38" s="7"/>
      <c r="B38" s="32"/>
      <c r="C38" s="11"/>
      <c r="D38" s="11"/>
      <c r="E38" s="11"/>
      <c r="F38" s="11"/>
      <c r="G38" s="11"/>
      <c r="H38" s="11"/>
      <c r="I38" s="7"/>
    </row>
    <row r="39" spans="1:9" x14ac:dyDescent="0.25">
      <c r="A39" s="7"/>
      <c r="B39" s="32"/>
      <c r="C39" s="11"/>
      <c r="D39" s="11"/>
      <c r="E39" s="11"/>
      <c r="F39" s="11"/>
      <c r="G39" s="11"/>
      <c r="H39" s="11"/>
      <c r="I39" s="7"/>
    </row>
    <row r="40" spans="1:9" x14ac:dyDescent="0.25">
      <c r="A40" s="7"/>
      <c r="B40" s="32"/>
      <c r="C40" s="11"/>
      <c r="D40" s="11"/>
      <c r="E40" s="11"/>
      <c r="F40" s="11"/>
      <c r="G40" s="11"/>
      <c r="H40" s="11"/>
      <c r="I40" s="7"/>
    </row>
    <row r="41" spans="1:9" x14ac:dyDescent="0.25">
      <c r="A41" s="7"/>
      <c r="B41" s="32"/>
      <c r="C41" s="29"/>
      <c r="D41" s="11"/>
      <c r="E41" s="11"/>
      <c r="F41" s="11"/>
      <c r="G41" s="11"/>
      <c r="H41" s="11"/>
      <c r="I41" s="7"/>
    </row>
    <row r="42" spans="1:9" x14ac:dyDescent="0.25">
      <c r="A42" s="7"/>
      <c r="B42" s="29"/>
      <c r="C42" s="11"/>
      <c r="D42" s="11"/>
      <c r="E42" s="11"/>
      <c r="F42" s="11"/>
      <c r="G42" s="11"/>
      <c r="H42" s="11"/>
      <c r="I42" s="7"/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7"/>
      <c r="E46" s="7"/>
      <c r="F46" s="7"/>
      <c r="G46" s="7"/>
      <c r="H46" s="7"/>
      <c r="I46" s="7"/>
    </row>
  </sheetData>
  <mergeCells count="4">
    <mergeCell ref="C9:F9"/>
    <mergeCell ref="B7:H7"/>
    <mergeCell ref="B6:H6"/>
    <mergeCell ref="B2:AB4"/>
  </mergeCells>
  <pageMargins left="0.7" right="0.7" top="0.75" bottom="0.75" header="0.3" footer="0.3"/>
  <pageSetup paperSize="9" scale="21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Y18"/>
  <sheetViews>
    <sheetView showGridLines="0" zoomScale="55" zoomScaleNormal="55" zoomScaleSheetLayoutView="40" workbookViewId="0">
      <selection activeCell="B2" sqref="B2:Y4"/>
    </sheetView>
  </sheetViews>
  <sheetFormatPr defaultRowHeight="15" x14ac:dyDescent="0.25"/>
  <cols>
    <col min="2" max="2" width="32.85546875" customWidth="1"/>
    <col min="3" max="4" width="16.5703125" bestFit="1" customWidth="1"/>
    <col min="5" max="5" width="18.28515625" customWidth="1"/>
    <col min="6" max="6" width="19.140625" customWidth="1"/>
    <col min="7" max="7" width="16.5703125" bestFit="1" customWidth="1"/>
    <col min="8" max="8" width="21.7109375" bestFit="1" customWidth="1"/>
  </cols>
  <sheetData>
    <row r="1" spans="2:25" ht="15.75" thickBot="1" x14ac:dyDescent="0.3"/>
    <row r="2" spans="2:25" ht="15" customHeight="1" x14ac:dyDescent="0.25">
      <c r="B2" s="400" t="s">
        <v>500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2"/>
    </row>
    <row r="3" spans="2:25" ht="15" customHeight="1" x14ac:dyDescent="0.25">
      <c r="B3" s="403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5"/>
    </row>
    <row r="4" spans="2:25" ht="15.75" thickBot="1" x14ac:dyDescent="0.3">
      <c r="B4" s="406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8"/>
    </row>
    <row r="5" spans="2:25" s="167" customFormat="1" ht="18.75" customHeight="1" thickBot="1" x14ac:dyDescent="0.3"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</row>
    <row r="6" spans="2:25" ht="27" thickBot="1" x14ac:dyDescent="0.45">
      <c r="B6" s="394" t="s">
        <v>397</v>
      </c>
      <c r="C6" s="395"/>
      <c r="D6" s="395"/>
      <c r="E6" s="395"/>
      <c r="F6" s="395"/>
      <c r="G6" s="395"/>
      <c r="H6" s="396"/>
    </row>
    <row r="7" spans="2:25" ht="21.75" thickBot="1" x14ac:dyDescent="0.4">
      <c r="B7" s="397" t="s">
        <v>477</v>
      </c>
      <c r="C7" s="398"/>
      <c r="D7" s="398"/>
      <c r="E7" s="398"/>
      <c r="F7" s="398"/>
      <c r="G7" s="398"/>
      <c r="H7" s="399"/>
    </row>
    <row r="8" spans="2:25" ht="21.75" thickBot="1" x14ac:dyDescent="0.4">
      <c r="F8" s="92"/>
      <c r="G8" s="92"/>
    </row>
    <row r="9" spans="2:25" ht="18.75" x14ac:dyDescent="0.25">
      <c r="B9" s="67"/>
      <c r="C9" s="393" t="s">
        <v>433</v>
      </c>
      <c r="D9" s="393"/>
      <c r="E9" s="393"/>
      <c r="F9" s="393"/>
      <c r="G9" s="68" t="s">
        <v>389</v>
      </c>
      <c r="H9" s="64" t="s">
        <v>428</v>
      </c>
    </row>
    <row r="10" spans="2:25" ht="37.5" x14ac:dyDescent="0.25">
      <c r="B10" s="94" t="s">
        <v>474</v>
      </c>
      <c r="C10" s="71" t="s">
        <v>400</v>
      </c>
      <c r="D10" s="71" t="s">
        <v>401</v>
      </c>
      <c r="E10" s="71" t="s">
        <v>402</v>
      </c>
      <c r="F10" s="71" t="s">
        <v>403</v>
      </c>
      <c r="G10" s="71" t="s">
        <v>404</v>
      </c>
      <c r="H10" s="72" t="s">
        <v>405</v>
      </c>
    </row>
    <row r="11" spans="2:25" x14ac:dyDescent="0.25">
      <c r="B11" s="85" t="s">
        <v>292</v>
      </c>
      <c r="C11" s="83">
        <v>26</v>
      </c>
      <c r="D11" s="83">
        <v>42</v>
      </c>
      <c r="E11" s="83">
        <v>25</v>
      </c>
      <c r="F11" s="83">
        <v>27</v>
      </c>
      <c r="G11" s="83">
        <f t="shared" ref="G11:G16" si="0">+C11+D11+E11+F11</f>
        <v>120</v>
      </c>
      <c r="H11" s="89">
        <f t="shared" ref="H11:H16" si="1">+G11/252</f>
        <v>0.47619047619047616</v>
      </c>
    </row>
    <row r="12" spans="2:25" x14ac:dyDescent="0.25">
      <c r="B12" s="26" t="s">
        <v>283</v>
      </c>
      <c r="C12" s="32">
        <v>13</v>
      </c>
      <c r="D12" s="32">
        <v>19</v>
      </c>
      <c r="E12" s="32">
        <v>14</v>
      </c>
      <c r="F12" s="32">
        <v>16</v>
      </c>
      <c r="G12" s="88">
        <f t="shared" si="0"/>
        <v>62</v>
      </c>
      <c r="H12" s="95">
        <f t="shared" si="1"/>
        <v>0.24603174603174602</v>
      </c>
    </row>
    <row r="13" spans="2:25" x14ac:dyDescent="0.25">
      <c r="B13" s="85" t="s">
        <v>293</v>
      </c>
      <c r="C13" s="83">
        <v>13</v>
      </c>
      <c r="D13" s="83">
        <v>6</v>
      </c>
      <c r="E13" s="83">
        <v>14</v>
      </c>
      <c r="F13" s="83">
        <v>9</v>
      </c>
      <c r="G13" s="83">
        <f t="shared" si="0"/>
        <v>42</v>
      </c>
      <c r="H13" s="89">
        <f t="shared" si="1"/>
        <v>0.16666666666666666</v>
      </c>
    </row>
    <row r="14" spans="2:25" x14ac:dyDescent="0.25">
      <c r="B14" s="26" t="s">
        <v>273</v>
      </c>
      <c r="C14" s="32">
        <v>2</v>
      </c>
      <c r="D14" s="32">
        <v>4</v>
      </c>
      <c r="E14" s="32">
        <v>4</v>
      </c>
      <c r="F14" s="32">
        <v>6</v>
      </c>
      <c r="G14" s="88">
        <f t="shared" si="0"/>
        <v>16</v>
      </c>
      <c r="H14" s="95">
        <f t="shared" si="1"/>
        <v>6.3492063492063489E-2</v>
      </c>
    </row>
    <row r="15" spans="2:25" x14ac:dyDescent="0.25">
      <c r="B15" s="85" t="s">
        <v>362</v>
      </c>
      <c r="C15" s="83">
        <v>5</v>
      </c>
      <c r="D15" s="83">
        <v>0</v>
      </c>
      <c r="E15" s="83">
        <v>1</v>
      </c>
      <c r="F15" s="83">
        <v>2</v>
      </c>
      <c r="G15" s="83">
        <f t="shared" si="0"/>
        <v>8</v>
      </c>
      <c r="H15" s="89">
        <f t="shared" si="1"/>
        <v>3.1746031746031744E-2</v>
      </c>
    </row>
    <row r="16" spans="2:25" ht="15.75" thickBot="1" x14ac:dyDescent="0.3">
      <c r="B16" s="27" t="s">
        <v>315</v>
      </c>
      <c r="C16" s="33">
        <v>2</v>
      </c>
      <c r="D16" s="33">
        <v>1</v>
      </c>
      <c r="E16" s="33">
        <v>1</v>
      </c>
      <c r="F16" s="33">
        <v>0</v>
      </c>
      <c r="G16" s="126">
        <f t="shared" si="0"/>
        <v>4</v>
      </c>
      <c r="H16" s="127">
        <f t="shared" si="1"/>
        <v>1.5873015873015872E-2</v>
      </c>
    </row>
    <row r="17" spans="5:7" x14ac:dyDescent="0.25">
      <c r="F17" s="32"/>
      <c r="G17" s="88"/>
    </row>
    <row r="18" spans="5:7" x14ac:dyDescent="0.25">
      <c r="E18" s="93"/>
    </row>
  </sheetData>
  <mergeCells count="4">
    <mergeCell ref="C9:F9"/>
    <mergeCell ref="B6:H6"/>
    <mergeCell ref="B7:H7"/>
    <mergeCell ref="B2:Y4"/>
  </mergeCells>
  <pageMargins left="0.7" right="0.7" top="0.75" bottom="0.75" header="0.3" footer="0.3"/>
  <pageSetup paperSize="9" scale="2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X19"/>
  <sheetViews>
    <sheetView showGridLines="0" zoomScale="55" zoomScaleNormal="55" zoomScaleSheetLayoutView="55" workbookViewId="0">
      <selection activeCell="B2" sqref="B2:X4"/>
    </sheetView>
  </sheetViews>
  <sheetFormatPr defaultRowHeight="15" x14ac:dyDescent="0.25"/>
  <cols>
    <col min="2" max="2" width="32.85546875" customWidth="1"/>
    <col min="3" max="3" width="13.42578125" customWidth="1"/>
    <col min="4" max="4" width="15.42578125" customWidth="1"/>
    <col min="5" max="5" width="13.7109375" customWidth="1"/>
    <col min="6" max="6" width="18.42578125" customWidth="1"/>
    <col min="7" max="7" width="22" customWidth="1"/>
    <col min="8" max="8" width="16.42578125" customWidth="1"/>
  </cols>
  <sheetData>
    <row r="1" spans="1:24" ht="15.75" thickBot="1" x14ac:dyDescent="0.3"/>
    <row r="2" spans="1:24" ht="15" customHeight="1" x14ac:dyDescent="0.25">
      <c r="B2" s="400" t="s">
        <v>501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2"/>
    </row>
    <row r="3" spans="1:24" ht="15" customHeight="1" x14ac:dyDescent="0.25">
      <c r="B3" s="403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5"/>
    </row>
    <row r="4" spans="1:24" ht="15.75" thickBot="1" x14ac:dyDescent="0.3">
      <c r="B4" s="406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8"/>
    </row>
    <row r="5" spans="1:24" s="39" customFormat="1" ht="15" customHeight="1" thickBot="1" x14ac:dyDescent="0.3">
      <c r="A5" s="167"/>
      <c r="B5" s="176"/>
      <c r="C5" s="176"/>
      <c r="D5" s="176"/>
      <c r="E5" s="176"/>
      <c r="F5" s="176"/>
      <c r="G5" s="176"/>
      <c r="H5" s="176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</row>
    <row r="6" spans="1:24" ht="27" thickBot="1" x14ac:dyDescent="0.45">
      <c r="B6" s="394" t="s">
        <v>397</v>
      </c>
      <c r="C6" s="395"/>
      <c r="D6" s="395"/>
      <c r="E6" s="395"/>
      <c r="F6" s="395"/>
      <c r="G6" s="395"/>
      <c r="H6" s="396"/>
    </row>
    <row r="7" spans="1:24" ht="21.75" thickBot="1" x14ac:dyDescent="0.4">
      <c r="B7" s="397" t="s">
        <v>479</v>
      </c>
      <c r="C7" s="398"/>
      <c r="D7" s="398"/>
      <c r="E7" s="398"/>
      <c r="F7" s="398"/>
      <c r="G7" s="398"/>
      <c r="H7" s="399"/>
    </row>
    <row r="8" spans="1:24" ht="15.75" thickBot="1" x14ac:dyDescent="0.3">
      <c r="Q8">
        <v>172</v>
      </c>
    </row>
    <row r="9" spans="1:24" ht="18.75" x14ac:dyDescent="0.25">
      <c r="B9" s="67"/>
      <c r="C9" s="393" t="s">
        <v>433</v>
      </c>
      <c r="D9" s="393"/>
      <c r="E9" s="393"/>
      <c r="F9" s="393"/>
      <c r="G9" s="115" t="s">
        <v>389</v>
      </c>
      <c r="H9" s="64" t="s">
        <v>428</v>
      </c>
      <c r="Q9">
        <v>12</v>
      </c>
    </row>
    <row r="10" spans="1:24" ht="18.75" x14ac:dyDescent="0.25">
      <c r="B10" s="70" t="s">
        <v>261</v>
      </c>
      <c r="C10" s="71" t="s">
        <v>400</v>
      </c>
      <c r="D10" s="71" t="s">
        <v>401</v>
      </c>
      <c r="E10" s="71" t="s">
        <v>402</v>
      </c>
      <c r="F10" s="71" t="s">
        <v>403</v>
      </c>
      <c r="G10" s="71" t="s">
        <v>404</v>
      </c>
      <c r="H10" s="72" t="s">
        <v>405</v>
      </c>
      <c r="Q10">
        <v>12</v>
      </c>
    </row>
    <row r="11" spans="1:24" x14ac:dyDescent="0.25">
      <c r="B11" s="82" t="s">
        <v>276</v>
      </c>
      <c r="C11" s="83">
        <v>43</v>
      </c>
      <c r="D11" s="83">
        <v>43</v>
      </c>
      <c r="E11" s="83">
        <v>42</v>
      </c>
      <c r="F11" s="84">
        <v>44</v>
      </c>
      <c r="G11" s="83">
        <f>+C11+D11+E11+F11</f>
        <v>172</v>
      </c>
      <c r="H11" s="89">
        <f>+G11/252</f>
        <v>0.68253968253968256</v>
      </c>
    </row>
    <row r="12" spans="1:24" x14ac:dyDescent="0.25">
      <c r="B12" s="26" t="s">
        <v>444</v>
      </c>
      <c r="C12" s="32">
        <v>10</v>
      </c>
      <c r="D12" s="32">
        <v>18</v>
      </c>
      <c r="E12" s="32">
        <v>11</v>
      </c>
      <c r="F12" s="32">
        <v>10</v>
      </c>
      <c r="G12" s="88">
        <f>+C12+D12+E12+F12</f>
        <v>49</v>
      </c>
      <c r="H12" s="90">
        <f>+G12/252</f>
        <v>0.19444444444444445</v>
      </c>
    </row>
    <row r="13" spans="1:24" x14ac:dyDescent="0.25">
      <c r="B13" s="85" t="s">
        <v>445</v>
      </c>
      <c r="C13" s="83">
        <v>1</v>
      </c>
      <c r="D13" s="83">
        <v>4</v>
      </c>
      <c r="E13" s="83">
        <v>4</v>
      </c>
      <c r="F13" s="83">
        <v>3</v>
      </c>
      <c r="G13" s="83">
        <f>+C13+D13+E13+F13</f>
        <v>12</v>
      </c>
      <c r="H13" s="89">
        <f>+G13/252</f>
        <v>4.7619047619047616E-2</v>
      </c>
    </row>
    <row r="14" spans="1:24" x14ac:dyDescent="0.25">
      <c r="B14" s="26" t="s">
        <v>446</v>
      </c>
      <c r="C14" s="32">
        <v>3</v>
      </c>
      <c r="D14" s="32">
        <v>5</v>
      </c>
      <c r="E14" s="32">
        <v>1</v>
      </c>
      <c r="F14" s="32">
        <v>3</v>
      </c>
      <c r="G14" s="88">
        <f>+C14+D14+E14+F14</f>
        <v>12</v>
      </c>
      <c r="H14" s="90">
        <f>+G14/252</f>
        <v>4.7619047619047616E-2</v>
      </c>
    </row>
    <row r="15" spans="1:24" ht="15.75" thickBot="1" x14ac:dyDescent="0.3">
      <c r="B15" s="86" t="s">
        <v>387</v>
      </c>
      <c r="C15" s="87">
        <v>4</v>
      </c>
      <c r="D15" s="87">
        <v>2</v>
      </c>
      <c r="E15" s="87">
        <v>1</v>
      </c>
      <c r="F15" s="87">
        <v>0</v>
      </c>
      <c r="G15" s="87">
        <f>+C15+D15+E15+F15</f>
        <v>7</v>
      </c>
      <c r="H15" s="91">
        <f>+G15/252</f>
        <v>2.7777777777777776E-2</v>
      </c>
    </row>
    <row r="19" spans="5:5" x14ac:dyDescent="0.25">
      <c r="E19" s="93"/>
    </row>
  </sheetData>
  <mergeCells count="4">
    <mergeCell ref="B2:X4"/>
    <mergeCell ref="B6:H6"/>
    <mergeCell ref="B7:H7"/>
    <mergeCell ref="C9:F9"/>
  </mergeCells>
  <pageMargins left="0.7" right="0.7" top="0.75" bottom="0.75" header="0.3" footer="0.3"/>
  <pageSetup paperSize="9"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18</vt:i4>
      </vt:variant>
    </vt:vector>
  </HeadingPairs>
  <TitlesOfParts>
    <vt:vector size="33" baseType="lpstr">
      <vt:lpstr>Índice</vt:lpstr>
      <vt:lpstr>Novembro 15</vt:lpstr>
      <vt:lpstr>Dezembro 15</vt:lpstr>
      <vt:lpstr>Janeiro 16</vt:lpstr>
      <vt:lpstr>Fevereiro 16</vt:lpstr>
      <vt:lpstr>Estratégia - TEMA</vt:lpstr>
      <vt:lpstr>Estratégia - ENQUADRAMENTO</vt:lpstr>
      <vt:lpstr>Estratégia - DIMENSÃO COM INSTI</vt:lpstr>
      <vt:lpstr>Estratégia - TIPO</vt:lpstr>
      <vt:lpstr>Estratégia - FORMATO</vt:lpstr>
      <vt:lpstr>Interação - TEMA</vt:lpstr>
      <vt:lpstr>Interação - DIMENSÃO COM INSTIT</vt:lpstr>
      <vt:lpstr>Interação - TIPO</vt:lpstr>
      <vt:lpstr>Interação - FORMATO</vt:lpstr>
      <vt:lpstr>Presença online do PE nas RSoc</vt:lpstr>
      <vt:lpstr>'Estratégia - ENQUADRAMENTO'!_ftn1</vt:lpstr>
      <vt:lpstr>'Estratégia - ENQUADRAMENTO'!_ftn2</vt:lpstr>
      <vt:lpstr>'Estratégia - ENQUADRAMENTO'!_ftn3</vt:lpstr>
      <vt:lpstr>'Estratégia - ENQUADRAMENTO'!_ftn4</vt:lpstr>
      <vt:lpstr>'Dezembro 15'!Área_de_Impressão</vt:lpstr>
      <vt:lpstr>'Estratégia - DIMENSÃO COM INSTI'!Área_de_Impressão</vt:lpstr>
      <vt:lpstr>'Estratégia - ENQUADRAMENTO'!Área_de_Impressão</vt:lpstr>
      <vt:lpstr>'Estratégia - FORMATO'!Área_de_Impressão</vt:lpstr>
      <vt:lpstr>'Estratégia - TEMA'!Área_de_Impressão</vt:lpstr>
      <vt:lpstr>'Estratégia - TIPO'!Área_de_Impressão</vt:lpstr>
      <vt:lpstr>'Fevereiro 16'!Área_de_Impressão</vt:lpstr>
      <vt:lpstr>Índice!Área_de_Impressão</vt:lpstr>
      <vt:lpstr>'Interação - DIMENSÃO COM INSTIT'!Área_de_Impressão</vt:lpstr>
      <vt:lpstr>'Interação - FORMATO'!Área_de_Impressão</vt:lpstr>
      <vt:lpstr>'Interação - TEMA'!Área_de_Impressão</vt:lpstr>
      <vt:lpstr>'Janeiro 16'!Área_de_Impressão</vt:lpstr>
      <vt:lpstr>'Novembro 15'!Área_de_Impressão</vt:lpstr>
      <vt:lpstr>'Presença online do PE nas RSoc'!Área_de_Impressão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2017-03-29T20:44:34Z</dcterms:modified>
</cp:coreProperties>
</file>